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9FB" lockStructure="1"/>
  <bookViews>
    <workbookView xWindow="0" yWindow="0" windowWidth="20490" windowHeight="6825" firstSheet="1" activeTab="1"/>
  </bookViews>
  <sheets>
    <sheet name="DATOS &gt; " sheetId="15" state="hidden" r:id="rId1"/>
    <sheet name="RT03-F34 &gt;" sheetId="8" r:id="rId2"/>
  </sheets>
  <externalReferences>
    <externalReference r:id="rId3"/>
    <externalReference r:id="rId4"/>
    <externalReference r:id="rId5"/>
  </externalReferences>
  <definedNames>
    <definedName name="a1_">'[1]APROXIMACION LINEL'!$C$21</definedName>
    <definedName name="_xlnm.Print_Area" localSheetId="1">'RT03-F34 &gt;'!$A$1:$P$180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0">'DATOS &gt; '!$A$1:$T$167</definedName>
    <definedName name="Print_Area" localSheetId="1">'RT03-F34 &gt;'!$A$1:$L$145</definedName>
    <definedName name="Print_Titles" localSheetId="1">'RT03-F34 &gt;'!$1:$3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8" l="1"/>
  <c r="I91" i="8"/>
  <c r="H91" i="8"/>
  <c r="G91" i="8"/>
  <c r="F91" i="8"/>
  <c r="K17" i="15" l="1"/>
  <c r="L17" i="15"/>
  <c r="G6" i="8" l="1"/>
  <c r="F6" i="8"/>
  <c r="E6" i="8"/>
  <c r="D6" i="8"/>
  <c r="P72" i="15" l="1"/>
  <c r="G26" i="8" l="1"/>
  <c r="G22" i="8" l="1"/>
  <c r="P29" i="15" l="1"/>
  <c r="P30" i="15"/>
  <c r="P31" i="15"/>
  <c r="P32" i="15"/>
  <c r="P28" i="15"/>
  <c r="R125" i="15" l="1"/>
  <c r="K65" i="8" l="1"/>
  <c r="T165" i="15" l="1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N165" i="15"/>
  <c r="K165" i="15"/>
  <c r="K164" i="15"/>
  <c r="K163" i="15"/>
  <c r="K162" i="15"/>
  <c r="K161" i="15"/>
  <c r="J165" i="15"/>
  <c r="J164" i="15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E28" i="8" s="1"/>
  <c r="K159" i="15"/>
  <c r="J159" i="15"/>
  <c r="H159" i="15"/>
  <c r="I159" i="15"/>
  <c r="R145" i="15"/>
  <c r="N163" i="15" s="1"/>
  <c r="Q145" i="15"/>
  <c r="M163" i="15" s="1"/>
  <c r="P145" i="15"/>
  <c r="L163" i="15" s="1"/>
  <c r="R135" i="15"/>
  <c r="N162" i="15" s="1"/>
  <c r="Q135" i="15"/>
  <c r="M162" i="15" s="1"/>
  <c r="P135" i="15"/>
  <c r="L162" i="15" s="1"/>
  <c r="Q125" i="15"/>
  <c r="M165" i="15" s="1"/>
  <c r="P125" i="15"/>
  <c r="L165" i="15" s="1"/>
  <c r="R114" i="15"/>
  <c r="N164" i="15" s="1"/>
  <c r="Q114" i="15"/>
  <c r="M164" i="15" s="1"/>
  <c r="P114" i="15"/>
  <c r="L164" i="15" s="1"/>
  <c r="R103" i="15"/>
  <c r="N161" i="15" s="1"/>
  <c r="Q103" i="15"/>
  <c r="M161" i="15" s="1"/>
  <c r="P103" i="15"/>
  <c r="L161" i="15" s="1"/>
  <c r="J29" i="8" l="1"/>
  <c r="H29" i="8"/>
  <c r="G28" i="8"/>
  <c r="J28" i="8"/>
  <c r="C28" i="8"/>
  <c r="E29" i="8"/>
  <c r="H120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P74" i="15" l="1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1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I103" i="8"/>
  <c r="L32" i="8"/>
  <c r="I23" i="8"/>
  <c r="B6" i="8"/>
  <c r="C6" i="8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N31" i="15"/>
  <c r="H23" i="8" s="1"/>
  <c r="B57" i="8" s="1"/>
  <c r="N32" i="15"/>
  <c r="H24" i="8" s="1"/>
  <c r="G23" i="8"/>
  <c r="J129" i="8" s="1"/>
  <c r="E26" i="8"/>
  <c r="D26" i="8"/>
  <c r="C26" i="8"/>
  <c r="B26" i="8"/>
  <c r="I24" i="8"/>
  <c r="I22" i="8"/>
  <c r="I21" i="8"/>
  <c r="F80" i="8" s="1"/>
  <c r="H21" i="8"/>
  <c r="B55" i="8" s="1"/>
  <c r="J24" i="8"/>
  <c r="J23" i="8"/>
  <c r="J22" i="8"/>
  <c r="J21" i="8"/>
  <c r="G24" i="8"/>
  <c r="J130" i="8" s="1"/>
  <c r="G21" i="8"/>
  <c r="D15" i="8"/>
  <c r="D14" i="8"/>
  <c r="D13" i="8"/>
  <c r="D12" i="8"/>
  <c r="D11" i="8"/>
  <c r="D10" i="8"/>
  <c r="D9" i="8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 s="1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119" i="8"/>
  <c r="K119" i="8" s="1"/>
  <c r="J89" i="8"/>
  <c r="I89" i="8"/>
  <c r="H89" i="8"/>
  <c r="G89" i="8"/>
  <c r="F89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F37" i="8"/>
  <c r="E37" i="8"/>
  <c r="D37" i="8"/>
  <c r="C37" i="8"/>
  <c r="F70" i="8" l="1"/>
  <c r="J127" i="8"/>
  <c r="J75" i="8"/>
  <c r="F75" i="8"/>
  <c r="H75" i="8"/>
  <c r="G75" i="8"/>
  <c r="I75" i="8"/>
  <c r="H79" i="8"/>
  <c r="I76" i="8"/>
  <c r="J76" i="8"/>
  <c r="F76" i="8"/>
  <c r="H76" i="8"/>
  <c r="G76" i="8"/>
  <c r="G25" i="8"/>
  <c r="I25" i="8"/>
  <c r="H25" i="8"/>
  <c r="B59" i="8" s="1"/>
  <c r="J128" i="8"/>
  <c r="G80" i="8"/>
  <c r="B56" i="8"/>
  <c r="K56" i="8" s="1"/>
  <c r="I79" i="8"/>
  <c r="B49" i="8"/>
  <c r="G34" i="8"/>
  <c r="E38" i="8"/>
  <c r="F38" i="8"/>
  <c r="D38" i="8"/>
  <c r="C38" i="8"/>
  <c r="G38" i="8"/>
  <c r="G81" i="8"/>
  <c r="B48" i="8"/>
  <c r="I81" i="8"/>
  <c r="G70" i="8"/>
  <c r="F48" i="8"/>
  <c r="F79" i="8"/>
  <c r="B50" i="8"/>
  <c r="I80" i="8"/>
  <c r="H81" i="8"/>
  <c r="I70" i="8"/>
  <c r="H80" i="8"/>
  <c r="D57" i="8"/>
  <c r="K57" i="8"/>
  <c r="B58" i="8"/>
  <c r="K55" i="8"/>
  <c r="D55" i="8"/>
  <c r="G79" i="8"/>
  <c r="F81" i="8"/>
  <c r="H70" i="8"/>
  <c r="F74" i="8" l="1"/>
  <c r="G148" i="8"/>
  <c r="D56" i="8"/>
  <c r="H74" i="8"/>
  <c r="C39" i="8"/>
  <c r="K58" i="8"/>
  <c r="G82" i="8"/>
  <c r="G96" i="8" s="1"/>
  <c r="I82" i="8"/>
  <c r="I96" i="8" s="1"/>
  <c r="F82" i="8"/>
  <c r="F96" i="8" s="1"/>
  <c r="G74" i="8"/>
  <c r="I74" i="8"/>
  <c r="J74" i="8"/>
  <c r="E119" i="8"/>
  <c r="E120" i="8" s="1"/>
  <c r="E57" i="8"/>
  <c r="H82" i="8"/>
  <c r="H96" i="8" s="1"/>
  <c r="L56" i="8"/>
  <c r="D59" i="8"/>
  <c r="K59" i="8"/>
  <c r="L57" i="8"/>
  <c r="D58" i="8"/>
  <c r="L55" i="8"/>
  <c r="J70" i="8"/>
  <c r="J131" i="8"/>
  <c r="J81" i="8"/>
  <c r="J79" i="8"/>
  <c r="J80" i="8"/>
  <c r="E55" i="8"/>
  <c r="E56" i="8" l="1"/>
  <c r="J73" i="8"/>
  <c r="J77" i="8" s="1"/>
  <c r="L58" i="8"/>
  <c r="I73" i="8"/>
  <c r="I77" i="8" s="1"/>
  <c r="G73" i="8"/>
  <c r="G77" i="8" s="1"/>
  <c r="H73" i="8"/>
  <c r="F73" i="8"/>
  <c r="F77" i="8" s="1"/>
  <c r="E58" i="8"/>
  <c r="L59" i="8"/>
  <c r="E59" i="8"/>
  <c r="J82" i="8"/>
  <c r="H77" i="8" l="1"/>
  <c r="L89" i="8"/>
  <c r="L90" i="8"/>
  <c r="M89" i="8" s="1"/>
  <c r="G84" i="8"/>
  <c r="G98" i="8" s="1"/>
  <c r="G101" i="8" s="1"/>
  <c r="G105" i="8" s="1"/>
  <c r="G106" i="8" s="1"/>
  <c r="I84" i="8"/>
  <c r="A114" i="8" s="1"/>
  <c r="C114" i="8" s="1"/>
  <c r="J96" i="8"/>
  <c r="J84" i="8"/>
  <c r="H84" i="8" l="1"/>
  <c r="F84" i="8"/>
  <c r="F98" i="8" s="1"/>
  <c r="I98" i="8"/>
  <c r="I101" i="8" s="1"/>
  <c r="I105" i="8" s="1"/>
  <c r="I106" i="8" s="1"/>
  <c r="B114" i="8"/>
  <c r="A112" i="8"/>
  <c r="B112" i="8" s="1"/>
  <c r="A115" i="8"/>
  <c r="J98" i="8"/>
  <c r="J101" i="8" s="1"/>
  <c r="A113" i="8" l="1"/>
  <c r="H98" i="8"/>
  <c r="H101" i="8" s="1"/>
  <c r="H105" i="8" s="1"/>
  <c r="H106" i="8" s="1"/>
  <c r="A111" i="8"/>
  <c r="C111" i="8" s="1"/>
  <c r="C112" i="8"/>
  <c r="F101" i="8"/>
  <c r="F105" i="8" s="1"/>
  <c r="F106" i="8" s="1"/>
  <c r="J105" i="8"/>
  <c r="J106" i="8" s="1"/>
  <c r="B115" i="8"/>
  <c r="C115" i="8"/>
  <c r="C113" i="8" l="1"/>
  <c r="B113" i="8"/>
  <c r="B111" i="8"/>
  <c r="G120" i="8"/>
  <c r="C116" i="8"/>
  <c r="B120" i="8" s="1"/>
  <c r="G134" i="8" s="1"/>
  <c r="B116" i="8" l="1"/>
  <c r="B118" i="8" s="1"/>
  <c r="D134" i="8" l="1"/>
  <c r="F137" i="8"/>
  <c r="F138" i="8" s="1"/>
  <c r="G115" i="8"/>
  <c r="G111" i="8"/>
  <c r="G113" i="8"/>
  <c r="G114" i="8"/>
  <c r="G112" i="8"/>
  <c r="B119" i="8"/>
  <c r="D111" i="8" s="1"/>
  <c r="E111" i="8" l="1"/>
  <c r="D115" i="8"/>
  <c r="E115" i="8" s="1"/>
  <c r="K131" i="8" s="1"/>
  <c r="D112" i="8"/>
  <c r="E112" i="8" s="1"/>
  <c r="K128" i="8" s="1"/>
  <c r="D113" i="8"/>
  <c r="E113" i="8" s="1"/>
  <c r="K129" i="8" s="1"/>
  <c r="D114" i="8"/>
  <c r="E114" i="8" s="1"/>
  <c r="K130" i="8" s="1"/>
  <c r="G116" i="8"/>
  <c r="I119" i="8" l="1"/>
  <c r="I120" i="8" s="1"/>
  <c r="D123" i="8"/>
  <c r="H140" i="8" s="1"/>
  <c r="H141" i="8" s="1"/>
  <c r="D124" i="8"/>
  <c r="F140" i="8" s="1"/>
  <c r="F141" i="8" s="1"/>
  <c r="K127" i="8"/>
  <c r="H124" i="8" l="1"/>
</calcChain>
</file>

<file path=xl/sharedStrings.xml><?xml version="1.0" encoding="utf-8"?>
<sst xmlns="http://schemas.openxmlformats.org/spreadsheetml/2006/main" count="705" uniqueCount="365">
  <si>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</si>
  <si>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</si>
  <si>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</si>
  <si>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</si>
  <si>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</si>
  <si>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</si>
  <si>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</si>
  <si>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</si>
  <si>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Modelo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</si>
  <si>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</si>
  <si>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</si>
  <si>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</si>
  <si>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</si>
  <si>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</si>
  <si>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</si>
  <si>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</si>
  <si>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</si>
  <si>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</si>
  <si>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</si>
  <si>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</si>
  <si>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</si>
  <si>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</si>
  <si>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</si>
  <si>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</si>
  <si>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</si>
  <si>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</si>
  <si>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</si>
  <si>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</si>
  <si>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</si>
  <si>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</si>
  <si>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</si>
  <si>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</si>
  <si>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</si>
  <si>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</si>
  <si>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</si>
  <si>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</si>
  <si>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</si>
  <si>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</si>
  <si>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</si>
  <si>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</si>
  <si>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</si>
  <si>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</si>
  <si>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</si>
  <si>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</si>
  <si>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</si>
  <si>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</si>
  <si>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</si>
  <si>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</si>
  <si>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</si>
  <si>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</si>
  <si>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</si>
  <si>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</si>
  <si>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</si>
  <si>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</si>
  <si>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</si>
  <si>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</si>
  <si>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</si>
  <si>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</si>
  <si>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</si>
  <si>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</si>
  <si>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</si>
  <si>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</si>
  <si>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</si>
  <si>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</si>
  <si>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</si>
  <si>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</si>
  <si>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</si>
  <si>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</si>
  <si>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</si>
  <si>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</si>
  <si>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Serie</t>
  </si>
  <si>
    <t>Fecha de calibración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</si>
  <si>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</si>
  <si>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</si>
  <si>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</si>
  <si>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</si>
  <si>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</si>
  <si>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</si>
  <si>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</si>
  <si>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</si>
  <si>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</si>
  <si>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</si>
  <si>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</si>
  <si>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</si>
  <si>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</si>
  <si>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</si>
  <si>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</si>
  <si>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</si>
  <si>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</si>
  <si>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>E (R)  (mg) =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</si>
  <si>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</si>
  <si>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</si>
  <si>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</si>
  <si>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</si>
  <si>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</si>
  <si>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</si>
  <si>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</si>
  <si>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</si>
  <si>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</si>
  <si>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</si>
  <si>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</si>
  <si>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</si>
  <si>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Sartorius</t>
  </si>
  <si>
    <t>Indicación 1(g)</t>
  </si>
  <si>
    <t>Información</t>
  </si>
  <si>
    <t>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</si>
  <si>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</si>
  <si>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</si>
  <si>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</si>
  <si>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</si>
  <si>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</si>
  <si>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</si>
  <si>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</si>
  <si>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</si>
  <si>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</si>
  <si>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</si>
  <si>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</si>
  <si>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</si>
  <si>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</si>
  <si>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</si>
  <si>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</si>
  <si>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</si>
  <si>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</si>
  <si>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</si>
  <si>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</si>
  <si>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</si>
  <si>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</si>
  <si>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</si>
  <si>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</si>
  <si>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</si>
  <si>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</si>
  <si>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</si>
  <si>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</si>
  <si>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</si>
  <si>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</si>
  <si>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</si>
  <si>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</si>
  <si>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</si>
  <si>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</si>
  <si>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</si>
  <si>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</si>
  <si>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</si>
  <si>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</si>
  <si>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</si>
  <si>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</si>
  <si>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</si>
  <si>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</si>
  <si>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</si>
  <si>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</si>
  <si>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</si>
  <si>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</si>
  <si>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</si>
  <si>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</si>
  <si>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</si>
  <si>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</si>
  <si>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</si>
  <si>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</si>
  <si>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</si>
  <si>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</si>
  <si>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</si>
  <si>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</si>
  <si>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</si>
  <si>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</si>
  <si>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</si>
  <si>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</si>
  <si>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</si>
  <si>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</si>
  <si>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</si>
  <si>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</si>
  <si>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</si>
  <si>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</si>
  <si>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>Rice Lake</t>
  </si>
  <si>
    <t>No porta</t>
  </si>
  <si>
    <t>M-016</t>
  </si>
  <si>
    <t>punto</t>
  </si>
  <si>
    <t>LH</t>
  </si>
  <si>
    <t>Luis Henry Barreto Rojas</t>
  </si>
  <si>
    <t>EA</t>
  </si>
  <si>
    <t>Elvis Aguirre Romero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</si>
  <si>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</si>
  <si>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</si>
  <si>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</si>
  <si>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</si>
  <si>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</si>
  <si>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</si>
  <si>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</si>
  <si>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</si>
  <si>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</si>
  <si>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F1</t>
  </si>
  <si>
    <t>Datos de las Pesas Patrón</t>
  </si>
  <si>
    <t>Carga para Excentricidad g</t>
  </si>
  <si>
    <t>Carga para Repetibilidad g</t>
  </si>
  <si>
    <t>CMC Balanza</t>
  </si>
  <si>
    <t>M-015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</si>
  <si>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</si>
  <si>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</si>
  <si>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de Pesas</t>
  </si>
  <si>
    <t xml:space="preserve">INM </t>
  </si>
  <si>
    <t>Mettler Toledo</t>
  </si>
  <si>
    <t>No identificado</t>
  </si>
  <si>
    <t>0,22.0714.0802.024</t>
  </si>
  <si>
    <t>INM 1997</t>
  </si>
  <si>
    <t>INM 2147</t>
  </si>
  <si>
    <t>0,26.0714.0802.024</t>
  </si>
  <si>
    <t>INM 2148</t>
  </si>
  <si>
    <t>CDT CERT-16-EMP-1057-2567</t>
  </si>
  <si>
    <t>0,23.0714.0802.024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</si>
  <si>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</si>
  <si>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</si>
  <si>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</si>
  <si>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</si>
  <si>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</si>
  <si>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</si>
  <si>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</si>
  <si>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</si>
  <si>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</si>
  <si>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t>Carga máx. (g)</t>
  </si>
  <si>
    <t>DATOS TERMOHIGRÓMETRO - BARÓMETRO</t>
  </si>
  <si>
    <t>Fecha Certificado</t>
  </si>
  <si>
    <t>M-010</t>
  </si>
  <si>
    <t>Incertidumbre   U=(k=2)</t>
  </si>
  <si>
    <t xml:space="preserve">M-012  </t>
  </si>
  <si>
    <t>°C</t>
  </si>
  <si>
    <t>%Rh</t>
  </si>
  <si>
    <t>hPa</t>
  </si>
  <si>
    <t>Temperatura</t>
  </si>
  <si>
    <t>Humedad</t>
  </si>
  <si>
    <t xml:space="preserve">  V-002 </t>
  </si>
  <si>
    <t xml:space="preserve">M-012 </t>
  </si>
  <si>
    <t xml:space="preserve">M-013 </t>
  </si>
  <si>
    <t xml:space="preserve">M-010 </t>
  </si>
  <si>
    <t xml:space="preserve">M-011 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</si>
  <si>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</si>
  <si>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</si>
  <si>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</si>
  <si>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</si>
  <si>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</si>
  <si>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</si>
  <si>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</si>
  <si>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</si>
  <si>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</si>
  <si>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</si>
  <si>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</si>
  <si>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>U (E)  (g) =</t>
  </si>
  <si>
    <t>masa para completar la carga  Max (g)</t>
  </si>
  <si>
    <t>Metrólogo</t>
  </si>
  <si>
    <t>INM</t>
  </si>
  <si>
    <t>1393 DK</t>
  </si>
  <si>
    <t>1402 DK</t>
  </si>
  <si>
    <t>1392 DK</t>
  </si>
  <si>
    <t>R (mg)</t>
  </si>
  <si>
    <t>E (R)  (g) =</t>
  </si>
  <si>
    <t>Código Interno</t>
  </si>
  <si>
    <t>Presión Atmosférica</t>
  </si>
  <si>
    <t>Metrólogos</t>
  </si>
  <si>
    <t>Carga Max (g)</t>
  </si>
  <si>
    <t xml:space="preserve">División de Escala (d)  (g)  </t>
  </si>
  <si>
    <t>INCERTIDUMBRE ESTÁNDAR MASA DE REFERENCIA   (mg)</t>
  </si>
  <si>
    <t>INCERTIDUMBRE ESTÁNDAR DEL ERROR   (mg)</t>
  </si>
  <si>
    <t>APROXIMACION POR LINEA RECTA QUE CRUZA POR CERO PARA EL ERROR   (mg)</t>
  </si>
  <si>
    <t>1405 DK</t>
  </si>
  <si>
    <t>DESPUÉS DE AJUSTE</t>
  </si>
  <si>
    <t>°C m</t>
  </si>
  <si>
    <t>°C b</t>
  </si>
  <si>
    <t>%rH m</t>
  </si>
  <si>
    <t>%rH b</t>
  </si>
  <si>
    <t>hPa m</t>
  </si>
  <si>
    <t>hPa b</t>
  </si>
  <si>
    <t xml:space="preserve"> Metrólogo de Masa y Volumen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</si>
  <si>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</si>
  <si>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</si>
  <si>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</si>
  <si>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</si>
  <si>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</si>
  <si>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</si>
  <si>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Intervalo de Medición (g) e incertidumbre expandida U</t>
  </si>
  <si>
    <t>Masa  Convencional (g)</t>
  </si>
  <si>
    <t>Incertidumbre dominante</t>
  </si>
  <si>
    <t>SI</t>
  </si>
  <si>
    <t>≤ 0,3</t>
  </si>
  <si>
    <t>K=1,65</t>
  </si>
  <si>
    <t>Resultado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</si>
  <si>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</si>
  <si>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K= 2,0</t>
  </si>
  <si>
    <t>Condicional incertidumbre dominante</t>
  </si>
  <si>
    <t>Masa Convencional (g)</t>
  </si>
  <si>
    <t>Nombre del Metrólogo</t>
  </si>
  <si>
    <t>INM 3998</t>
  </si>
  <si>
    <t>INM 4006</t>
  </si>
  <si>
    <t>INM 2313</t>
  </si>
  <si>
    <t>21/05/2019 / - 23/05/2019 -    15/05/2019</t>
  </si>
  <si>
    <t>INM  3998- 4006-2313</t>
  </si>
  <si>
    <t>INM 3997</t>
  </si>
  <si>
    <t>INM 4005</t>
  </si>
  <si>
    <t>INM 2316</t>
  </si>
  <si>
    <t>21/05/2019 /- 23/05/2019 -/  02/05/2019</t>
  </si>
  <si>
    <t>INM-3997, INM 4005 - INM 2316</t>
  </si>
  <si>
    <t>INM 3985</t>
  </si>
  <si>
    <t>INM 3987</t>
  </si>
  <si>
    <t>INM - 2314</t>
  </si>
  <si>
    <t>14/05/2019- 15/05/2019    15/05/2019</t>
  </si>
  <si>
    <t>INM 3985 - INM 3987 -   INM 2314</t>
  </si>
  <si>
    <t>INM 3986</t>
  </si>
  <si>
    <t>INM 3988</t>
  </si>
  <si>
    <t>INM 2315</t>
  </si>
  <si>
    <t>14/05/2019 -/  15/05/2019 -   15/05/2019</t>
  </si>
  <si>
    <t>INM-39864-INM 3988-INM 2315</t>
  </si>
  <si>
    <t>V 1 RL.  5 g</t>
  </si>
  <si>
    <t>V 1 RL.  200 g</t>
  </si>
  <si>
    <t>V 1 RL.  1 kg</t>
  </si>
  <si>
    <t>V 1 RL.  2 kg</t>
  </si>
  <si>
    <t>V 1 RL.  5 kg</t>
  </si>
  <si>
    <t xml:space="preserve">V 2 RL.  1 g  </t>
  </si>
  <si>
    <t xml:space="preserve">V 2 RL. 2 g  </t>
  </si>
  <si>
    <t xml:space="preserve">V 2 RL.  2 g punto </t>
  </si>
  <si>
    <t xml:space="preserve">V 2 RL.  5 g  </t>
  </si>
  <si>
    <t xml:space="preserve">V 2 RL.  10 g  </t>
  </si>
  <si>
    <t xml:space="preserve">V 2 RL.  20 g  </t>
  </si>
  <si>
    <t xml:space="preserve">V 2 RL. 20 g punto </t>
  </si>
  <si>
    <t xml:space="preserve">V 2 RL. 50 g  </t>
  </si>
  <si>
    <t xml:space="preserve">V 2 RL.  100 g  </t>
  </si>
  <si>
    <t xml:space="preserve">V 2 RL.  200 g  </t>
  </si>
  <si>
    <t xml:space="preserve">V 2 RL.  200 g punto </t>
  </si>
  <si>
    <t xml:space="preserve">V 2 RL.  500 g  </t>
  </si>
  <si>
    <t xml:space="preserve">V 2 RL.  1000 g  </t>
  </si>
  <si>
    <t xml:space="preserve">V 2 RL.  2000 g  </t>
  </si>
  <si>
    <t xml:space="preserve">V 2 RL.  2000 g punto </t>
  </si>
  <si>
    <t xml:space="preserve">V 2 RL.  5000 g  </t>
  </si>
  <si>
    <t>1519 DK</t>
  </si>
  <si>
    <t>Juego viajeras  V2</t>
  </si>
  <si>
    <t>Juego Viajeras V1</t>
  </si>
  <si>
    <t>INM 4216</t>
  </si>
  <si>
    <t>INM 4217</t>
  </si>
  <si>
    <t>INM 2346</t>
  </si>
  <si>
    <t>2019-09-24 - / 2019-09-25 -    2019-08-25</t>
  </si>
  <si>
    <t>INM 4216 - INM 4217 -  INM 2346</t>
  </si>
  <si>
    <t>Responsable de la Direccion Tecnica</t>
  </si>
  <si>
    <t xml:space="preserve">  Sustituto del Responsable de la Direccion Tecnica</t>
  </si>
  <si>
    <r>
      <t xml:space="preserve">Prueba de error de indicación </t>
    </r>
    <r>
      <rPr>
        <sz val="10"/>
        <color theme="1"/>
        <rFont val="Arial"/>
        <family val="2"/>
      </rPr>
      <t>(redondeo de la indicación sin carga</t>
    </r>
    <r>
      <rPr>
        <b/>
        <sz val="10"/>
        <color theme="1"/>
        <rFont val="Arial"/>
        <family val="2"/>
      </rPr>
      <t>)</t>
    </r>
  </si>
  <si>
    <t>Grados efectivos de libertad Ʋ= n-3</t>
  </si>
  <si>
    <t>1504 DK</t>
  </si>
  <si>
    <r>
      <rPr>
        <b/>
        <sz val="9"/>
        <color theme="1"/>
        <rFont val="Arial"/>
        <family val="2"/>
      </rPr>
      <t xml:space="preserve">Prueba de error de indicación </t>
    </r>
    <r>
      <rPr>
        <sz val="9"/>
        <color theme="1"/>
        <rFont val="Arial"/>
        <family val="2"/>
      </rPr>
      <t>(redondeo de la indicación con carga)</t>
    </r>
  </si>
  <si>
    <t>k</t>
  </si>
  <si>
    <t>SC</t>
  </si>
  <si>
    <t>Stivison Cordóba Sánchez</t>
  </si>
  <si>
    <t>HOJA DE CÁLCULO PARA COMPROBACIONES INTERMEDIAS DE BALANZAS</t>
  </si>
  <si>
    <t>DATOS DE LA BALANZA A COMPROBAR</t>
  </si>
  <si>
    <t>Año y número de certificado</t>
  </si>
  <si>
    <t>Desviación estandar Máx.</t>
  </si>
  <si>
    <t>Fecha y Comprobación #</t>
  </si>
  <si>
    <t>Desviación estandar Máx</t>
  </si>
  <si>
    <t>ANÁLISIS DE LOS RESULTADOS</t>
  </si>
  <si>
    <t>Patrón Utilizado en la comprobación - Termo higrómetros</t>
  </si>
  <si>
    <t>Fecha de Ingreso</t>
  </si>
  <si>
    <t xml:space="preserve">Código interno  </t>
  </si>
  <si>
    <t>Lugar de Comprobación</t>
  </si>
  <si>
    <t>Fecha de comprobación</t>
  </si>
  <si>
    <t>Comprobación N°</t>
  </si>
  <si>
    <t xml:space="preserve">DESVIACIÓN ESTÁNDAR HISTÓRICO SEGÚN CERTIFICADOS DE CALIBRACIÓN </t>
  </si>
  <si>
    <t>DESVIACIÓN ESTÁNDAR HISTÓRICO DE COMPROBACIONES INTERMEDIAS</t>
  </si>
  <si>
    <t>Lugar de comprobación</t>
  </si>
  <si>
    <t xml:space="preserve">Fecha de la comprobación </t>
  </si>
  <si>
    <t xml:space="preserve">Escalón de Verificación en  (g)  </t>
  </si>
  <si>
    <t>Datos de la Balanza a Comprobar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</si>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</sst>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  <numFmt numFmtId="181" formatCode="0\ 000.0000"/>
    <numFmt numFmtId="182" formatCode="0\ 000"/>
    <numFmt numFmtId="183" formatCode="0\ 000\ .0"/>
    <numFmt numFmtId="184" formatCode="0\ 000.00000"/>
    <numFmt numFmtId="185" formatCode="0\ 000.00"/>
    <numFmt numFmtId="186" formatCode="\ 0\ 000\ 000.00"/>
    <numFmt numFmtId="187" formatCode="#\ ##0"/>
    <numFmt numFmtId="188" formatCode="#\ ##0\ .0000"/>
    <numFmt numFmtId="189" formatCode="#\ ##0.0"/>
    <numFmt numFmtId="190" formatCode="##\ ##0.0"/>
    <numFmt numFmtId="191" formatCode="###\ 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b/>
      <sz val="26"/>
      <name val="Arial"/>
      <family val="2"/>
    </font>
    <font>
      <b/>
      <i/>
      <sz val="12"/>
      <color theme="0"/>
      <name val="Arial"/>
      <family val="2"/>
    </font>
    <font>
      <sz val="9"/>
      <color theme="1"/>
      <name val="Arial"/>
      <family val="2"/>
    </font>
    <font>
      <sz val="2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5" borderId="1" applyBorder="0">
      <alignment horizontal="center" vertical="center"/>
    </xf>
  </cellStyleXfs>
  <cellXfs count="1001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7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7" xfId="0" applyNumberFormat="1" applyFont="1" applyFill="1" applyBorder="1" applyAlignment="1" applyProtection="1">
      <alignment horizontal="center" vertical="center" wrapText="1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38" fillId="3" borderId="16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4" xfId="0" applyNumberFormat="1" applyFont="1" applyBorder="1" applyAlignment="1" applyProtection="1">
      <protection hidden="1"/>
    </xf>
    <xf numFmtId="0" fontId="31" fillId="0" borderId="5" xfId="0" applyNumberFormat="1" applyFont="1" applyBorder="1" applyAlignment="1" applyProtection="1">
      <protection hidden="1"/>
    </xf>
    <xf numFmtId="0" fontId="31" fillId="0" borderId="39" xfId="0" applyNumberFormat="1" applyFont="1" applyBorder="1" applyAlignment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Fill="1" applyProtection="1">
      <protection hidden="1"/>
    </xf>
    <xf numFmtId="0" fontId="32" fillId="0" borderId="7" xfId="0" applyNumberFormat="1" applyFont="1" applyFill="1" applyBorder="1" applyProtection="1">
      <protection hidden="1"/>
    </xf>
    <xf numFmtId="0" fontId="32" fillId="0" borderId="8" xfId="0" applyNumberFormat="1" applyFont="1" applyFill="1" applyBorder="1" applyProtection="1">
      <protection hidden="1"/>
    </xf>
    <xf numFmtId="0" fontId="31" fillId="0" borderId="7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NumberFormat="1" applyFont="1" applyFill="1" applyBorder="1" applyAlignment="1" applyProtection="1">
      <alignment horizontal="center"/>
      <protection hidden="1"/>
    </xf>
    <xf numFmtId="0" fontId="32" fillId="0" borderId="39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vertical="center" textRotation="90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Protection="1">
      <protection hidden="1"/>
    </xf>
    <xf numFmtId="0" fontId="33" fillId="0" borderId="32" xfId="0" applyFont="1" applyBorder="1" applyAlignment="1" applyProtection="1">
      <alignment vertical="center" textRotation="90"/>
      <protection hidden="1"/>
    </xf>
    <xf numFmtId="0" fontId="32" fillId="0" borderId="32" xfId="0" applyFont="1" applyBorder="1" applyAlignment="1" applyProtection="1">
      <protection hidden="1"/>
    </xf>
    <xf numFmtId="0" fontId="32" fillId="0" borderId="32" xfId="0" applyFont="1" applyBorder="1" applyProtection="1">
      <protection hidden="1"/>
    </xf>
    <xf numFmtId="0" fontId="32" fillId="0" borderId="15" xfId="0" applyFont="1" applyBorder="1" applyProtection="1"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3" fontId="31" fillId="0" borderId="40" xfId="0" applyNumberFormat="1" applyFont="1" applyFill="1" applyBorder="1" applyAlignment="1" applyProtection="1">
      <alignment horizontal="center" vertical="center" wrapText="1"/>
      <protection hidden="1"/>
    </xf>
    <xf numFmtId="171" fontId="31" fillId="0" borderId="40" xfId="0" applyNumberFormat="1" applyFont="1" applyFill="1" applyBorder="1" applyAlignment="1" applyProtection="1">
      <alignment horizontal="center" vertical="center"/>
      <protection hidden="1"/>
    </xf>
    <xf numFmtId="168" fontId="31" fillId="0" borderId="40" xfId="0" applyNumberFormat="1" applyFont="1" applyFill="1" applyBorder="1" applyAlignment="1" applyProtection="1">
      <alignment horizontal="center" vertical="center"/>
      <protection hidden="1"/>
    </xf>
    <xf numFmtId="3" fontId="31" fillId="18" borderId="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3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1" fillId="0" borderId="0" xfId="0" applyNumberFormat="1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Border="1" applyProtection="1">
      <protection hidden="1"/>
    </xf>
    <xf numFmtId="0" fontId="32" fillId="0" borderId="24" xfId="0" applyFont="1" applyBorder="1" applyProtection="1">
      <protection hidden="1"/>
    </xf>
    <xf numFmtId="175" fontId="31" fillId="0" borderId="41" xfId="0" applyNumberFormat="1" applyFont="1" applyFill="1" applyBorder="1" applyAlignment="1" applyProtection="1">
      <alignment horizontal="center" vertic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175" fontId="31" fillId="2" borderId="5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 applyProtection="1">
      <alignment horizontal="center" vertical="center"/>
      <protection hidden="1"/>
    </xf>
    <xf numFmtId="0" fontId="31" fillId="0" borderId="42" xfId="0" applyFont="1" applyFill="1" applyBorder="1" applyAlignment="1" applyProtection="1">
      <alignment horizontal="center" vertical="center"/>
      <protection hidden="1"/>
    </xf>
    <xf numFmtId="0" fontId="31" fillId="0" borderId="41" xfId="0" applyFont="1" applyFill="1" applyBorder="1" applyAlignment="1" applyProtection="1">
      <alignment horizontal="center" vertical="center"/>
      <protection hidden="1"/>
    </xf>
    <xf numFmtId="0" fontId="31" fillId="0" borderId="7" xfId="0" applyFont="1" applyFill="1" applyBorder="1" applyAlignment="1" applyProtection="1">
      <alignment horizontal="center" vertical="center"/>
      <protection hidden="1"/>
    </xf>
    <xf numFmtId="0" fontId="35" fillId="0" borderId="0" xfId="0" applyFont="1" applyProtection="1">
      <protection hidden="1"/>
    </xf>
    <xf numFmtId="0" fontId="32" fillId="0" borderId="22" xfId="0" applyFont="1" applyBorder="1" applyAlignment="1" applyProtection="1">
      <protection hidden="1"/>
    </xf>
    <xf numFmtId="0" fontId="32" fillId="0" borderId="50" xfId="0" applyFont="1" applyBorder="1" applyAlignment="1" applyProtection="1">
      <protection hidden="1"/>
    </xf>
    <xf numFmtId="0" fontId="32" fillId="0" borderId="5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1" fillId="0" borderId="43" xfId="0" applyNumberFormat="1" applyFont="1" applyBorder="1" applyAlignment="1" applyProtection="1">
      <protection hidden="1"/>
    </xf>
    <xf numFmtId="0" fontId="31" fillId="0" borderId="20" xfId="0" applyNumberFormat="1" applyFont="1" applyBorder="1" applyAlignment="1" applyProtection="1">
      <protection hidden="1"/>
    </xf>
    <xf numFmtId="0" fontId="32" fillId="0" borderId="44" xfId="0" applyFont="1" applyBorder="1" applyProtection="1">
      <protection hidden="1"/>
    </xf>
    <xf numFmtId="0" fontId="32" fillId="0" borderId="43" xfId="0" applyFont="1" applyBorder="1" applyProtection="1">
      <protection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1" fillId="21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" xfId="0" applyFont="1" applyBorder="1" applyProtection="1">
      <protection hidden="1"/>
    </xf>
    <xf numFmtId="0" fontId="32" fillId="16" borderId="1" xfId="0" applyFont="1" applyFill="1" applyBorder="1" applyAlignment="1" applyProtection="1">
      <alignment horizontal="center" vertical="center"/>
      <protection hidden="1"/>
    </xf>
    <xf numFmtId="169" fontId="32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/>
      <protection hidden="1"/>
    </xf>
    <xf numFmtId="2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8" xfId="0" applyFont="1" applyFill="1" applyBorder="1" applyAlignment="1" applyProtection="1">
      <alignment horizontal="center" vertical="center"/>
      <protection hidden="1"/>
    </xf>
    <xf numFmtId="169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4" xfId="0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/>
      <protection hidden="1"/>
    </xf>
    <xf numFmtId="166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5" xfId="0" applyNumberFormat="1" applyFont="1" applyFill="1" applyBorder="1" applyAlignment="1" applyProtection="1">
      <alignment horizontal="center" vertical="center"/>
      <protection hidden="1"/>
    </xf>
    <xf numFmtId="169" fontId="32" fillId="16" borderId="5" xfId="0" applyNumberFormat="1" applyFont="1" applyFill="1" applyBorder="1" applyAlignment="1" applyProtection="1">
      <alignment horizontal="center" vertical="center"/>
      <protection hidden="1"/>
    </xf>
    <xf numFmtId="0" fontId="32" fillId="16" borderId="39" xfId="0" applyFont="1" applyFill="1" applyBorder="1" applyAlignment="1" applyProtection="1">
      <alignment horizontal="center" vertical="center"/>
      <protection hidden="1"/>
    </xf>
    <xf numFmtId="0" fontId="32" fillId="16" borderId="41" xfId="0" applyFont="1" applyFill="1" applyBorder="1" applyAlignment="1" applyProtection="1">
      <alignment horizontal="center" vertical="center" wrapText="1"/>
      <protection hidden="1"/>
    </xf>
    <xf numFmtId="165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42" xfId="0" applyFont="1" applyFill="1" applyBorder="1" applyAlignment="1" applyProtection="1">
      <alignment horizontal="center" vertical="center"/>
      <protection hidden="1"/>
    </xf>
    <xf numFmtId="0" fontId="32" fillId="16" borderId="7" xfId="0" applyFont="1" applyFill="1" applyBorder="1" applyAlignment="1" applyProtection="1">
      <alignment horizontal="center" vertical="center" wrapText="1"/>
      <protection hidden="1"/>
    </xf>
    <xf numFmtId="171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12" xfId="0" applyFont="1" applyFill="1" applyBorder="1" applyAlignment="1" applyProtection="1">
      <alignment horizontal="center" vertical="center"/>
      <protection hidden="1"/>
    </xf>
    <xf numFmtId="164" fontId="32" fillId="16" borderId="5" xfId="0" applyNumberFormat="1" applyFont="1" applyFill="1" applyBorder="1" applyAlignment="1" applyProtection="1">
      <alignment horizontal="center" vertical="center"/>
      <protection hidden="1"/>
    </xf>
    <xf numFmtId="166" fontId="32" fillId="16" borderId="1" xfId="0" applyNumberFormat="1" applyFont="1" applyFill="1" applyBorder="1" applyAlignment="1" applyProtection="1">
      <alignment horizontal="center" vertical="center"/>
      <protection hidden="1"/>
    </xf>
    <xf numFmtId="164" fontId="32" fillId="16" borderId="1" xfId="0" applyNumberFormat="1" applyFont="1" applyFill="1" applyBorder="1" applyAlignment="1" applyProtection="1">
      <alignment horizontal="center" vertical="center"/>
      <protection hidden="1"/>
    </xf>
    <xf numFmtId="165" fontId="32" fillId="16" borderId="5" xfId="0" applyNumberFormat="1" applyFont="1" applyFill="1" applyBorder="1" applyAlignment="1" applyProtection="1">
      <alignment horizontal="center" vertical="center"/>
      <protection hidden="1"/>
    </xf>
    <xf numFmtId="0" fontId="31" fillId="23" borderId="14" xfId="0" applyFont="1" applyFill="1" applyBorder="1" applyAlignment="1" applyProtection="1">
      <alignment horizontal="center" vertical="center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39" xfId="0" applyNumberFormat="1" applyFont="1" applyFill="1" applyBorder="1" applyAlignment="1" applyProtection="1">
      <alignment horizontal="center" vertical="center"/>
      <protection hidden="1"/>
    </xf>
    <xf numFmtId="2" fontId="7" fillId="6" borderId="57" xfId="0" applyNumberFormat="1" applyFont="1" applyFill="1" applyBorder="1" applyAlignment="1" applyProtection="1">
      <alignment horizontal="center" vertical="center"/>
      <protection hidden="1"/>
    </xf>
    <xf numFmtId="2" fontId="7" fillId="6" borderId="58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39" xfId="0" applyNumberFormat="1" applyFont="1" applyFill="1" applyBorder="1" applyAlignment="1" applyProtection="1">
      <alignment horizontal="center" vertical="center"/>
      <protection hidden="1"/>
    </xf>
    <xf numFmtId="1" fontId="7" fillId="9" borderId="41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39" xfId="0" applyNumberFormat="1" applyFont="1" applyFill="1" applyBorder="1" applyAlignment="1" applyProtection="1">
      <alignment horizontal="center"/>
      <protection hidden="1"/>
    </xf>
    <xf numFmtId="167" fontId="9" fillId="9" borderId="41" xfId="0" applyNumberFormat="1" applyFont="1" applyFill="1" applyBorder="1" applyAlignment="1" applyProtection="1">
      <alignment horizontal="center" vertical="center"/>
      <protection hidden="1"/>
    </xf>
    <xf numFmtId="1" fontId="9" fillId="9" borderId="44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169" fontId="9" fillId="9" borderId="41" xfId="0" applyNumberFormat="1" applyFont="1" applyFill="1" applyBorder="1" applyAlignment="1" applyProtection="1">
      <alignment horizontal="center" vertical="center"/>
      <protection hidden="1"/>
    </xf>
    <xf numFmtId="164" fontId="7" fillId="16" borderId="42" xfId="0" applyNumberFormat="1" applyFont="1" applyFill="1" applyBorder="1" applyAlignment="1" applyProtection="1">
      <alignment horizontal="center" vertical="center"/>
      <protection hidden="1"/>
    </xf>
    <xf numFmtId="2" fontId="7" fillId="16" borderId="42" xfId="0" applyNumberFormat="1" applyFont="1" applyFill="1" applyBorder="1" applyAlignment="1" applyProtection="1">
      <alignment horizontal="center" vertical="center"/>
      <protection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6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2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39" xfId="0" applyNumberFormat="1" applyFont="1" applyFill="1" applyBorder="1" applyAlignment="1" applyProtection="1">
      <alignment horizontal="center" vertical="center" wrapText="1"/>
      <protection hidden="1"/>
    </xf>
    <xf numFmtId="171" fontId="13" fillId="9" borderId="42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0" fontId="4" fillId="17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7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39" xfId="0" applyNumberFormat="1" applyFont="1" applyFill="1" applyBorder="1" applyAlignment="1" applyProtection="1">
      <alignment horizontal="center" vertical="center" wrapText="1"/>
      <protection hidden="1"/>
    </xf>
    <xf numFmtId="0" fontId="37" fillId="17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0" xfId="0" applyNumberFormat="1" applyFont="1" applyBorder="1" applyAlignment="1" applyProtection="1">
      <alignment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1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5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8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4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5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2" fontId="7" fillId="6" borderId="73" xfId="0" applyNumberFormat="1" applyFont="1" applyFill="1" applyBorder="1" applyAlignment="1" applyProtection="1">
      <alignment horizontal="center" vertical="center" wrapText="1"/>
      <protection hidden="1"/>
    </xf>
    <xf numFmtId="169" fontId="7" fillId="6" borderId="70" xfId="0" applyNumberFormat="1" applyFont="1" applyFill="1" applyBorder="1" applyAlignment="1" applyProtection="1">
      <alignment horizontal="center" vertical="center"/>
      <protection hidden="1"/>
    </xf>
    <xf numFmtId="169" fontId="7" fillId="6" borderId="71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6" borderId="39" xfId="0" applyNumberFormat="1" applyFont="1" applyFill="1" applyBorder="1" applyAlignment="1" applyProtection="1">
      <alignment horizontal="center" vertical="center" wrapText="1"/>
      <protection hidden="1"/>
    </xf>
    <xf numFmtId="164" fontId="38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38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7" xfId="0" applyNumberFormat="1" applyFont="1" applyFill="1" applyBorder="1" applyAlignment="1" applyProtection="1">
      <alignment horizontal="center" vertical="center"/>
      <protection hidden="1"/>
    </xf>
    <xf numFmtId="2" fontId="18" fillId="6" borderId="50" xfId="0" applyNumberFormat="1" applyFont="1" applyFill="1" applyBorder="1" applyAlignment="1" applyProtection="1">
      <alignment horizontal="center" vertical="center"/>
      <protection hidden="1"/>
    </xf>
    <xf numFmtId="2" fontId="18" fillId="6" borderId="53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74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7" xfId="0" applyNumberFormat="1" applyFont="1" applyFill="1" applyBorder="1" applyProtection="1">
      <protection hidden="1"/>
    </xf>
    <xf numFmtId="2" fontId="7" fillId="6" borderId="48" xfId="0" applyNumberFormat="1" applyFont="1" applyFill="1" applyBorder="1" applyProtection="1">
      <protection hidden="1"/>
    </xf>
    <xf numFmtId="2" fontId="7" fillId="6" borderId="54" xfId="0" applyNumberFormat="1" applyFont="1" applyFill="1" applyBorder="1" applyAlignment="1" applyProtection="1">
      <alignment horizontal="centerContinuous"/>
      <protection hidden="1"/>
    </xf>
    <xf numFmtId="2" fontId="7" fillId="6" borderId="75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6" xfId="1" applyNumberFormat="1" applyFont="1" applyFill="1" applyBorder="1" applyAlignment="1" applyProtection="1">
      <alignment vertical="center" wrapText="1"/>
      <protection hidden="1"/>
    </xf>
    <xf numFmtId="174" fontId="7" fillId="9" borderId="63" xfId="1" applyNumberFormat="1" applyFont="1" applyFill="1" applyBorder="1" applyAlignment="1" applyProtection="1">
      <alignment vertical="center" wrapText="1"/>
      <protection hidden="1"/>
    </xf>
    <xf numFmtId="174" fontId="7" fillId="9" borderId="39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3" fontId="7" fillId="2" borderId="40" xfId="0" applyNumberFormat="1" applyFont="1" applyFill="1" applyBorder="1" applyProtection="1">
      <protection hidden="1"/>
    </xf>
    <xf numFmtId="167" fontId="7" fillId="9" borderId="67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1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2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0" fillId="9" borderId="55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7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5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4" xfId="0" applyNumberFormat="1" applyFont="1" applyFill="1" applyBorder="1" applyAlignment="1" applyProtection="1">
      <alignment vertical="center"/>
      <protection hidden="1"/>
    </xf>
    <xf numFmtId="174" fontId="7" fillId="9" borderId="6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4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39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3" xfId="2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0" fontId="39" fillId="6" borderId="8" xfId="2" applyFont="1" applyFill="1" applyBorder="1" applyAlignment="1" applyProtection="1">
      <alignment horizontal="center" vertical="center"/>
      <protection hidden="1"/>
    </xf>
    <xf numFmtId="0" fontId="31" fillId="6" borderId="34" xfId="0" applyFont="1" applyFill="1" applyBorder="1" applyAlignment="1" applyProtection="1">
      <alignment horizontal="center" vertical="center"/>
      <protection hidden="1"/>
    </xf>
    <xf numFmtId="0" fontId="31" fillId="0" borderId="39" xfId="0" applyFont="1" applyFill="1" applyBorder="1" applyAlignment="1" applyProtection="1">
      <alignment vertical="center"/>
      <protection hidden="1"/>
    </xf>
    <xf numFmtId="2" fontId="41" fillId="6" borderId="36" xfId="0" applyNumberFormat="1" applyFont="1" applyFill="1" applyBorder="1" applyAlignment="1" applyProtection="1">
      <alignment horizontal="center" vertical="center"/>
      <protection hidden="1"/>
    </xf>
    <xf numFmtId="0" fontId="32" fillId="24" borderId="4" xfId="0" applyFont="1" applyFill="1" applyBorder="1" applyAlignment="1" applyProtection="1">
      <alignment horizontal="center" vertical="center" wrapText="1"/>
      <protection hidden="1"/>
    </xf>
    <xf numFmtId="0" fontId="32" fillId="24" borderId="5" xfId="0" applyFont="1" applyFill="1" applyBorder="1" applyAlignment="1" applyProtection="1">
      <alignment horizontal="center" vertical="center"/>
      <protection hidden="1"/>
    </xf>
    <xf numFmtId="164" fontId="32" fillId="24" borderId="5" xfId="0" applyNumberFormat="1" applyFont="1" applyFill="1" applyBorder="1" applyAlignment="1" applyProtection="1">
      <alignment horizontal="center" vertical="center"/>
      <protection hidden="1"/>
    </xf>
    <xf numFmtId="169" fontId="32" fillId="24" borderId="5" xfId="0" applyNumberFormat="1" applyFont="1" applyFill="1" applyBorder="1" applyAlignment="1" applyProtection="1">
      <alignment horizontal="center" vertical="center"/>
      <protection hidden="1"/>
    </xf>
    <xf numFmtId="0" fontId="32" fillId="24" borderId="39" xfId="0" applyFont="1" applyFill="1" applyBorder="1" applyAlignment="1" applyProtection="1">
      <alignment horizontal="center" vertical="center"/>
      <protection hidden="1"/>
    </xf>
    <xf numFmtId="0" fontId="32" fillId="24" borderId="7" xfId="0" applyFont="1" applyFill="1" applyBorder="1" applyAlignment="1" applyProtection="1">
      <alignment horizontal="center" vertical="center" wrapText="1"/>
      <protection hidden="1"/>
    </xf>
    <xf numFmtId="0" fontId="32" fillId="24" borderId="8" xfId="0" applyFont="1" applyFill="1" applyBorder="1" applyAlignment="1" applyProtection="1">
      <alignment horizontal="center" vertical="center"/>
      <protection hidden="1"/>
    </xf>
    <xf numFmtId="164" fontId="32" fillId="24" borderId="8" xfId="0" applyNumberFormat="1" applyFont="1" applyFill="1" applyBorder="1" applyAlignment="1" applyProtection="1">
      <alignment horizontal="center" vertical="center"/>
      <protection hidden="1"/>
    </xf>
    <xf numFmtId="169" fontId="32" fillId="24" borderId="8" xfId="0" applyNumberFormat="1" applyFont="1" applyFill="1" applyBorder="1" applyAlignment="1" applyProtection="1">
      <alignment horizontal="center" vertical="center"/>
      <protection hidden="1"/>
    </xf>
    <xf numFmtId="0" fontId="32" fillId="24" borderId="12" xfId="0" applyFont="1" applyFill="1" applyBorder="1" applyAlignment="1" applyProtection="1">
      <alignment horizontal="center" vertical="center"/>
      <protection hidden="1"/>
    </xf>
    <xf numFmtId="0" fontId="32" fillId="0" borderId="57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Protection="1"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80" fontId="31" fillId="0" borderId="41" xfId="0" applyNumberFormat="1" applyFont="1" applyFill="1" applyBorder="1" applyAlignment="1" applyProtection="1">
      <alignment horizontal="center" vertical="center"/>
      <protection hidden="1"/>
    </xf>
    <xf numFmtId="11" fontId="31" fillId="0" borderId="1" xfId="0" applyNumberFormat="1" applyFont="1" applyFill="1" applyBorder="1" applyAlignment="1" applyProtection="1">
      <alignment horizontal="center" vertical="center"/>
      <protection hidden="1"/>
    </xf>
    <xf numFmtId="171" fontId="9" fillId="6" borderId="9" xfId="0" applyNumberFormat="1" applyFont="1" applyFill="1" applyBorder="1" applyAlignment="1" applyProtection="1">
      <alignment horizontal="center" vertical="center"/>
      <protection hidden="1"/>
    </xf>
    <xf numFmtId="171" fontId="9" fillId="6" borderId="10" xfId="0" applyNumberFormat="1" applyFont="1" applyFill="1" applyBorder="1" applyAlignment="1" applyProtection="1">
      <alignment horizontal="center" vertical="center"/>
      <protection hidden="1"/>
    </xf>
    <xf numFmtId="171" fontId="9" fillId="6" borderId="11" xfId="0" applyNumberFormat="1" applyFont="1" applyFill="1" applyBorder="1" applyAlignment="1" applyProtection="1">
      <alignment horizontal="center" vertical="center"/>
      <protection hidden="1"/>
    </xf>
    <xf numFmtId="1" fontId="7" fillId="9" borderId="68" xfId="0" applyNumberFormat="1" applyFont="1" applyFill="1" applyBorder="1" applyAlignment="1" applyProtection="1">
      <alignment horizontal="centerContinuous"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Protection="1">
      <protection hidden="1"/>
    </xf>
    <xf numFmtId="0" fontId="31" fillId="23" borderId="22" xfId="0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171" fontId="13" fillId="9" borderId="40" xfId="0" applyNumberFormat="1" applyFont="1" applyFill="1" applyBorder="1" applyAlignment="1" applyProtection="1">
      <alignment horizontal="center" vertical="center"/>
      <protection hidden="1"/>
    </xf>
    <xf numFmtId="171" fontId="16" fillId="3" borderId="47" xfId="0" applyNumberFormat="1" applyFont="1" applyFill="1" applyBorder="1" applyAlignment="1" applyProtection="1">
      <alignment horizontal="center" vertical="center"/>
      <protection hidden="1"/>
    </xf>
    <xf numFmtId="171" fontId="16" fillId="3" borderId="48" xfId="0" applyNumberFormat="1" applyFont="1" applyFill="1" applyBorder="1" applyAlignment="1" applyProtection="1">
      <alignment horizontal="center" vertical="center"/>
      <protection hidden="1"/>
    </xf>
    <xf numFmtId="171" fontId="16" fillId="3" borderId="49" xfId="0" applyNumberFormat="1" applyFont="1" applyFill="1" applyBorder="1" applyAlignment="1" applyProtection="1">
      <alignment horizontal="center" vertical="center"/>
      <protection hidden="1"/>
    </xf>
    <xf numFmtId="171" fontId="7" fillId="0" borderId="0" xfId="0" applyNumberFormat="1" applyFont="1" applyFill="1" applyBorder="1" applyProtection="1">
      <protection hidden="1"/>
    </xf>
    <xf numFmtId="2" fontId="13" fillId="9" borderId="7" xfId="0" applyNumberFormat="1" applyFont="1" applyFill="1" applyBorder="1" applyAlignment="1" applyProtection="1">
      <alignment horizontal="center" vertical="center"/>
      <protection hidden="1"/>
    </xf>
    <xf numFmtId="2" fontId="13" fillId="9" borderId="8" xfId="0" applyNumberFormat="1" applyFont="1" applyFill="1" applyBorder="1" applyAlignment="1" applyProtection="1">
      <alignment horizontal="center" vertical="center"/>
      <protection hidden="1"/>
    </xf>
    <xf numFmtId="2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65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" vertical="center"/>
      <protection hidden="1"/>
    </xf>
    <xf numFmtId="2" fontId="13" fillId="6" borderId="65" xfId="0" applyNumberFormat="1" applyFont="1" applyFill="1" applyBorder="1" applyAlignment="1" applyProtection="1">
      <alignment horizontal="centerContinuous" vertical="center"/>
      <protection hidden="1"/>
    </xf>
    <xf numFmtId="2" fontId="13" fillId="6" borderId="6" xfId="0" applyNumberFormat="1" applyFont="1" applyFill="1" applyBorder="1" applyAlignment="1" applyProtection="1">
      <alignment horizontal="centerContinuous" vertical="center"/>
      <protection hidden="1"/>
    </xf>
    <xf numFmtId="0" fontId="31" fillId="6" borderId="41" xfId="0" applyNumberFormat="1" applyFont="1" applyFill="1" applyBorder="1" applyAlignment="1" applyProtection="1">
      <alignment horizontal="center" vertical="center"/>
      <protection hidden="1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2" fontId="13" fillId="6" borderId="48" xfId="0" applyNumberFormat="1" applyFont="1" applyFill="1" applyBorder="1" applyAlignment="1" applyProtection="1">
      <alignment horizontal="center" vertical="center" wrapText="1"/>
      <protection hidden="1"/>
    </xf>
    <xf numFmtId="174" fontId="13" fillId="9" borderId="11" xfId="0" applyNumberFormat="1" applyFont="1" applyFill="1" applyBorder="1" applyAlignment="1" applyProtection="1">
      <alignment horizontal="center" vertical="center"/>
      <protection hidden="1"/>
    </xf>
    <xf numFmtId="174" fontId="13" fillId="9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42" fillId="13" borderId="74" xfId="0" applyFont="1" applyFill="1" applyBorder="1" applyAlignment="1" applyProtection="1">
      <alignment horizontal="center" vertical="center"/>
      <protection hidden="1"/>
    </xf>
    <xf numFmtId="0" fontId="42" fillId="13" borderId="50" xfId="0" applyFont="1" applyFill="1" applyBorder="1" applyAlignment="1" applyProtection="1">
      <alignment horizontal="center" vertical="center"/>
      <protection hidden="1"/>
    </xf>
    <xf numFmtId="0" fontId="42" fillId="13" borderId="50" xfId="0" applyFont="1" applyFill="1" applyBorder="1" applyAlignment="1" applyProtection="1">
      <alignment horizontal="center" vertical="center" wrapText="1"/>
      <protection hidden="1"/>
    </xf>
    <xf numFmtId="0" fontId="42" fillId="13" borderId="58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81" fontId="32" fillId="16" borderId="1" xfId="0" applyNumberFormat="1" applyFont="1" applyFill="1" applyBorder="1" applyAlignment="1" applyProtection="1">
      <alignment horizontal="center" vertical="center"/>
      <protection hidden="1"/>
    </xf>
    <xf numFmtId="184" fontId="7" fillId="9" borderId="1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0" fontId="31" fillId="20" borderId="4" xfId="0" applyFont="1" applyFill="1" applyBorder="1" applyAlignment="1" applyProtection="1">
      <alignment horizontal="center" vertical="center"/>
      <protection hidden="1"/>
    </xf>
    <xf numFmtId="0" fontId="31" fillId="20" borderId="5" xfId="0" applyFont="1" applyFill="1" applyBorder="1" applyAlignment="1" applyProtection="1">
      <alignment horizontal="center" vertical="center"/>
      <protection hidden="1"/>
    </xf>
    <xf numFmtId="171" fontId="31" fillId="20" borderId="5" xfId="0" applyNumberFormat="1" applyFont="1" applyFill="1" applyBorder="1" applyAlignment="1" applyProtection="1">
      <alignment horizontal="center" vertical="center"/>
      <protection hidden="1"/>
    </xf>
    <xf numFmtId="0" fontId="31" fillId="20" borderId="58" xfId="0" applyFont="1" applyFill="1" applyBorder="1" applyAlignment="1" applyProtection="1">
      <alignment horizontal="center" vertical="center"/>
      <protection hidden="1"/>
    </xf>
    <xf numFmtId="0" fontId="31" fillId="20" borderId="41" xfId="0" applyFont="1" applyFill="1" applyBorder="1" applyAlignment="1" applyProtection="1">
      <alignment horizontal="center" vertical="center"/>
      <protection hidden="1"/>
    </xf>
    <xf numFmtId="0" fontId="31" fillId="20" borderId="20" xfId="0" applyFont="1" applyFill="1" applyBorder="1" applyAlignment="1" applyProtection="1">
      <alignment horizontal="center" vertical="center"/>
      <protection hidden="1"/>
    </xf>
    <xf numFmtId="171" fontId="31" fillId="20" borderId="20" xfId="0" applyNumberFormat="1" applyFont="1" applyFill="1" applyBorder="1" applyAlignment="1" applyProtection="1">
      <alignment horizontal="center" vertical="center"/>
      <protection hidden="1"/>
    </xf>
    <xf numFmtId="0" fontId="31" fillId="20" borderId="42" xfId="0" applyFont="1" applyFill="1" applyBorder="1" applyAlignment="1" applyProtection="1">
      <alignment horizontal="center" vertical="center"/>
      <protection hidden="1"/>
    </xf>
    <xf numFmtId="171" fontId="31" fillId="20" borderId="7" xfId="0" applyNumberFormat="1" applyFont="1" applyFill="1" applyBorder="1" applyAlignment="1" applyProtection="1">
      <alignment horizontal="center" vertical="center"/>
      <protection hidden="1"/>
    </xf>
    <xf numFmtId="0" fontId="31" fillId="20" borderId="48" xfId="0" applyFont="1" applyFill="1" applyBorder="1" applyAlignment="1" applyProtection="1">
      <alignment horizontal="center" vertical="center"/>
      <protection hidden="1"/>
    </xf>
    <xf numFmtId="171" fontId="31" fillId="20" borderId="48" xfId="0" applyNumberFormat="1" applyFont="1" applyFill="1" applyBorder="1" applyAlignment="1" applyProtection="1">
      <alignment horizontal="center" vertical="center"/>
      <protection hidden="1"/>
    </xf>
    <xf numFmtId="0" fontId="31" fillId="20" borderId="12" xfId="0" applyFont="1" applyFill="1" applyBorder="1" applyAlignment="1" applyProtection="1">
      <alignment horizontal="center" vertical="center"/>
      <protection hidden="1"/>
    </xf>
    <xf numFmtId="0" fontId="31" fillId="20" borderId="39" xfId="0" applyFont="1" applyFill="1" applyBorder="1" applyAlignment="1" applyProtection="1">
      <alignment horizontal="center" vertical="center"/>
      <protection hidden="1"/>
    </xf>
    <xf numFmtId="171" fontId="31" fillId="20" borderId="41" xfId="0" applyNumberFormat="1" applyFont="1" applyFill="1" applyBorder="1" applyAlignment="1" applyProtection="1">
      <alignment horizontal="center" vertical="center"/>
      <protection hidden="1"/>
    </xf>
    <xf numFmtId="171" fontId="31" fillId="20" borderId="1" xfId="0" applyNumberFormat="1" applyFont="1" applyFill="1" applyBorder="1" applyAlignment="1" applyProtection="1">
      <alignment horizontal="center" vertical="center"/>
      <protection hidden="1"/>
    </xf>
    <xf numFmtId="0" fontId="31" fillId="20" borderId="7" xfId="0" applyFont="1" applyFill="1" applyBorder="1" applyAlignment="1" applyProtection="1">
      <alignment horizontal="center" vertical="center"/>
      <protection hidden="1"/>
    </xf>
    <xf numFmtId="0" fontId="31" fillId="20" borderId="8" xfId="0" applyFont="1" applyFill="1" applyBorder="1" applyAlignment="1" applyProtection="1">
      <alignment horizontal="center" vertical="center"/>
      <protection hidden="1"/>
    </xf>
    <xf numFmtId="0" fontId="31" fillId="20" borderId="1" xfId="0" applyFont="1" applyFill="1" applyBorder="1" applyAlignment="1" applyProtection="1">
      <alignment horizontal="center" vertical="center"/>
      <protection hidden="1"/>
    </xf>
    <xf numFmtId="171" fontId="31" fillId="20" borderId="4" xfId="0" applyNumberFormat="1" applyFont="1" applyFill="1" applyBorder="1" applyAlignment="1" applyProtection="1">
      <alignment horizontal="center" vertical="center"/>
      <protection hidden="1"/>
    </xf>
    <xf numFmtId="178" fontId="31" fillId="20" borderId="5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39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1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42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8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12" xfId="0" applyNumberFormat="1" applyFont="1" applyFill="1" applyBorder="1" applyAlignment="1" applyProtection="1">
      <alignment horizontal="center" vertical="center" wrapText="1"/>
      <protection hidden="1"/>
    </xf>
    <xf numFmtId="171" fontId="31" fillId="20" borderId="39" xfId="0" applyNumberFormat="1" applyFont="1" applyFill="1" applyBorder="1" applyAlignment="1" applyProtection="1">
      <alignment horizontal="center" vertical="center" wrapText="1"/>
      <protection hidden="1"/>
    </xf>
    <xf numFmtId="171" fontId="31" fillId="20" borderId="42" xfId="0" applyNumberFormat="1" applyFont="1" applyFill="1" applyBorder="1" applyAlignment="1" applyProtection="1">
      <alignment horizontal="center" vertical="center" wrapText="1"/>
      <protection hidden="1"/>
    </xf>
    <xf numFmtId="171" fontId="31" fillId="20" borderId="8" xfId="0" applyNumberFormat="1" applyFont="1" applyFill="1" applyBorder="1" applyAlignment="1" applyProtection="1">
      <alignment horizontal="center" vertical="center"/>
      <protection hidden="1"/>
    </xf>
    <xf numFmtId="171" fontId="0" fillId="20" borderId="12" xfId="0" applyNumberFormat="1" applyFill="1" applyBorder="1" applyAlignment="1" applyProtection="1">
      <alignment horizontal="center" vertical="center" wrapText="1"/>
      <protection hidden="1"/>
    </xf>
    <xf numFmtId="171" fontId="31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31" fillId="20" borderId="12" xfId="0" applyFont="1" applyFill="1" applyBorder="1" applyAlignment="1" applyProtection="1">
      <alignment horizontal="center" vertical="center" wrapText="1"/>
      <protection hidden="1"/>
    </xf>
    <xf numFmtId="0" fontId="32" fillId="6" borderId="41" xfId="0" applyFont="1" applyFill="1" applyBorder="1" applyAlignment="1" applyProtection="1">
      <alignment horizontal="center" vertical="center"/>
      <protection hidden="1"/>
    </xf>
    <xf numFmtId="183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86" fontId="7" fillId="9" borderId="1" xfId="0" applyNumberFormat="1" applyFont="1" applyFill="1" applyBorder="1" applyAlignment="1" applyProtection="1">
      <alignment horizontal="center" vertical="center"/>
      <protection hidden="1"/>
    </xf>
    <xf numFmtId="166" fontId="7" fillId="6" borderId="69" xfId="0" applyNumberFormat="1" applyFont="1" applyFill="1" applyBorder="1" applyAlignment="1" applyProtection="1">
      <alignment horizontal="center" vertical="center"/>
      <protection hidden="1"/>
    </xf>
    <xf numFmtId="166" fontId="7" fillId="9" borderId="5" xfId="0" applyNumberFormat="1" applyFont="1" applyFill="1" applyBorder="1" applyAlignment="1" applyProtection="1">
      <alignment horizontal="center" vertical="center"/>
      <protection hidden="1"/>
    </xf>
    <xf numFmtId="164" fontId="7" fillId="9" borderId="39" xfId="0" applyNumberFormat="1" applyFont="1" applyFill="1" applyBorder="1" applyAlignment="1" applyProtection="1">
      <alignment horizontal="center" vertical="center"/>
      <protection hidden="1"/>
    </xf>
    <xf numFmtId="171" fontId="7" fillId="7" borderId="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5" xfId="0" applyNumberFormat="1" applyFont="1" applyFill="1" applyBorder="1" applyAlignment="1" applyProtection="1">
      <alignment horizontal="center" vertical="center"/>
      <protection locked="0" hidden="1"/>
    </xf>
    <xf numFmtId="185" fontId="7" fillId="9" borderId="5" xfId="0" applyNumberFormat="1" applyFont="1" applyFill="1" applyBorder="1" applyAlignment="1" applyProtection="1">
      <alignment horizontal="center" vertical="center"/>
      <protection hidden="1"/>
    </xf>
    <xf numFmtId="164" fontId="7" fillId="16" borderId="39" xfId="0" applyNumberFormat="1" applyFont="1" applyFill="1" applyBorder="1" applyAlignment="1" applyProtection="1">
      <alignment horizontal="center" vertical="center"/>
      <protection hidden="1"/>
    </xf>
    <xf numFmtId="184" fontId="7" fillId="9" borderId="8" xfId="0" applyNumberFormat="1" applyFont="1" applyFill="1" applyBorder="1" applyAlignment="1" applyProtection="1">
      <alignment horizontal="center" vertical="center"/>
      <protection hidden="1"/>
    </xf>
    <xf numFmtId="186" fontId="7" fillId="9" borderId="8" xfId="0" applyNumberFormat="1" applyFont="1" applyFill="1" applyBorder="1" applyAlignment="1" applyProtection="1">
      <alignment horizontal="center" vertical="center"/>
      <protection hidden="1"/>
    </xf>
    <xf numFmtId="1" fontId="7" fillId="6" borderId="57" xfId="0" applyNumberFormat="1" applyFont="1" applyFill="1" applyBorder="1" applyAlignment="1" applyProtection="1">
      <alignment horizontal="center" vertical="center"/>
      <protection hidden="1"/>
    </xf>
    <xf numFmtId="1" fontId="7" fillId="6" borderId="50" xfId="0" applyNumberFormat="1" applyFont="1" applyFill="1" applyBorder="1" applyAlignment="1" applyProtection="1">
      <alignment horizontal="center" vertical="center"/>
      <protection hidden="1"/>
    </xf>
    <xf numFmtId="1" fontId="7" fillId="6" borderId="58" xfId="0" applyNumberFormat="1" applyFont="1" applyFill="1" applyBorder="1" applyAlignment="1" applyProtection="1">
      <alignment horizontal="center" vertical="center"/>
      <protection hidden="1"/>
    </xf>
    <xf numFmtId="183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35" xfId="0" applyNumberFormat="1" applyFont="1" applyFill="1" applyBorder="1" applyAlignment="1" applyProtection="1">
      <alignment horizontal="center" wrapText="1"/>
      <protection hidden="1"/>
    </xf>
    <xf numFmtId="2" fontId="13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9" xfId="0" applyNumberFormat="1" applyFont="1" applyFill="1" applyBorder="1" applyAlignment="1" applyProtection="1">
      <alignment horizontal="center" vertical="center"/>
      <protection hidden="1"/>
    </xf>
    <xf numFmtId="2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6" borderId="11" xfId="0" applyNumberFormat="1" applyFont="1" applyFill="1" applyBorder="1" applyAlignment="1" applyProtection="1">
      <alignment horizontal="center" vertical="center"/>
      <protection hidden="1"/>
    </xf>
    <xf numFmtId="176" fontId="7" fillId="4" borderId="10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10" xfId="0" applyNumberFormat="1" applyFont="1" applyFill="1" applyBorder="1" applyAlignment="1" applyProtection="1">
      <alignment horizontal="center" vertical="center" wrapText="1"/>
      <protection hidden="1"/>
    </xf>
    <xf numFmtId="171" fontId="7" fillId="4" borderId="10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7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23" xfId="0" applyFont="1" applyFill="1" applyBorder="1" applyAlignment="1" applyProtection="1">
      <alignment horizontal="center" vertical="center" wrapText="1"/>
      <protection hidden="1"/>
    </xf>
    <xf numFmtId="1" fontId="26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16" xfId="0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horizontal="center" vertical="center"/>
      <protection hidden="1"/>
    </xf>
    <xf numFmtId="0" fontId="43" fillId="6" borderId="4" xfId="0" applyFont="1" applyFill="1" applyBorder="1" applyAlignment="1" applyProtection="1">
      <alignment horizontal="center" vertical="center" wrapText="1"/>
      <protection hidden="1"/>
    </xf>
    <xf numFmtId="0" fontId="44" fillId="6" borderId="5" xfId="0" applyFont="1" applyFill="1" applyBorder="1" applyAlignment="1" applyProtection="1">
      <alignment horizontal="center" vertical="center" wrapText="1"/>
      <protection hidden="1"/>
    </xf>
    <xf numFmtId="0" fontId="43" fillId="6" borderId="39" xfId="0" applyFont="1" applyFill="1" applyBorder="1" applyAlignment="1" applyProtection="1">
      <alignment horizontal="center" vertical="center" wrapText="1"/>
      <protection hidden="1"/>
    </xf>
    <xf numFmtId="0" fontId="43" fillId="6" borderId="7" xfId="0" applyFont="1" applyFill="1" applyBorder="1" applyAlignment="1" applyProtection="1">
      <alignment horizontal="center" vertical="center" wrapText="1"/>
      <protection hidden="1"/>
    </xf>
    <xf numFmtId="0" fontId="43" fillId="6" borderId="8" xfId="0" applyFont="1" applyFill="1" applyBorder="1" applyAlignment="1" applyProtection="1">
      <alignment horizontal="center" vertical="center" wrapText="1"/>
      <protection hidden="1"/>
    </xf>
    <xf numFmtId="0" fontId="43" fillId="6" borderId="12" xfId="0" applyFont="1" applyFill="1" applyBorder="1" applyAlignment="1" applyProtection="1">
      <alignment horizontal="center" vertical="center" wrapText="1"/>
      <protection hidden="1"/>
    </xf>
    <xf numFmtId="0" fontId="26" fillId="6" borderId="36" xfId="0" applyFont="1" applyFill="1" applyBorder="1" applyAlignment="1" applyProtection="1">
      <alignment horizontal="center" vertical="center" wrapText="1"/>
      <protection hidden="1"/>
    </xf>
    <xf numFmtId="0" fontId="3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168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0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170" fontId="13" fillId="9" borderId="8" xfId="0" applyNumberFormat="1" applyFont="1" applyFill="1" applyBorder="1" applyAlignment="1" applyProtection="1">
      <alignment horizontal="center" vertical="center"/>
      <protection hidden="1"/>
    </xf>
    <xf numFmtId="187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20" borderId="4" xfId="0" applyFont="1" applyFill="1" applyBorder="1" applyAlignment="1" applyProtection="1">
      <alignment horizontal="center" vertical="center" wrapText="1"/>
      <protection hidden="1"/>
    </xf>
    <xf numFmtId="0" fontId="32" fillId="20" borderId="41" xfId="0" applyFont="1" applyFill="1" applyBorder="1" applyAlignment="1" applyProtection="1">
      <alignment horizontal="center" vertical="center" wrapText="1"/>
      <protection hidden="1"/>
    </xf>
    <xf numFmtId="0" fontId="32" fillId="20" borderId="7" xfId="0" applyFont="1" applyFill="1" applyBorder="1" applyAlignment="1" applyProtection="1">
      <alignment horizontal="center" vertical="center" wrapText="1"/>
      <protection hidden="1"/>
    </xf>
    <xf numFmtId="0" fontId="32" fillId="20" borderId="5" xfId="0" applyFont="1" applyFill="1" applyBorder="1" applyAlignment="1" applyProtection="1">
      <alignment horizontal="center" vertical="center"/>
      <protection hidden="1"/>
    </xf>
    <xf numFmtId="169" fontId="32" fillId="20" borderId="5" xfId="0" applyNumberFormat="1" applyFont="1" applyFill="1" applyBorder="1" applyAlignment="1" applyProtection="1">
      <alignment horizontal="center" vertical="center"/>
      <protection hidden="1"/>
    </xf>
    <xf numFmtId="169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0" fontId="0" fillId="20" borderId="42" xfId="0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1" fillId="20" borderId="42" xfId="0" applyFont="1" applyFill="1" applyBorder="1" applyAlignment="1" applyProtection="1">
      <alignment horizontal="center" vertical="center" wrapText="1"/>
      <protection hidden="1"/>
    </xf>
    <xf numFmtId="0" fontId="31" fillId="20" borderId="39" xfId="0" applyFont="1" applyFill="1" applyBorder="1" applyAlignment="1" applyProtection="1">
      <alignment horizontal="center" vertical="center" wrapText="1"/>
      <protection hidden="1"/>
    </xf>
    <xf numFmtId="0" fontId="32" fillId="20" borderId="1" xfId="0" applyFont="1" applyFill="1" applyBorder="1" applyAlignment="1" applyProtection="1">
      <alignment horizontal="center" vertical="center" wrapText="1"/>
      <protection hidden="1"/>
    </xf>
    <xf numFmtId="0" fontId="32" fillId="20" borderId="1" xfId="0" applyFont="1" applyFill="1" applyBorder="1" applyAlignment="1" applyProtection="1">
      <alignment horizontal="center" vertical="center"/>
      <protection hidden="1"/>
    </xf>
    <xf numFmtId="168" fontId="32" fillId="20" borderId="1" xfId="0" applyNumberFormat="1" applyFont="1" applyFill="1" applyBorder="1" applyAlignment="1" applyProtection="1">
      <alignment horizontal="center" vertical="center"/>
      <protection hidden="1"/>
    </xf>
    <xf numFmtId="168" fontId="32" fillId="16" borderId="1" xfId="0" applyNumberFormat="1" applyFont="1" applyFill="1" applyBorder="1" applyAlignment="1" applyProtection="1">
      <alignment horizontal="center" vertical="center"/>
      <protection hidden="1"/>
    </xf>
    <xf numFmtId="182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1" xfId="4" applyFont="1" applyFill="1" applyBorder="1" applyProtection="1">
      <alignment horizontal="center" vertical="center"/>
      <protection hidden="1"/>
    </xf>
    <xf numFmtId="0" fontId="32" fillId="16" borderId="1" xfId="0" applyFont="1" applyFill="1" applyBorder="1" applyProtection="1">
      <protection hidden="1"/>
    </xf>
    <xf numFmtId="168" fontId="32" fillId="20" borderId="5" xfId="0" applyNumberFormat="1" applyFont="1" applyFill="1" applyBorder="1" applyAlignment="1" applyProtection="1">
      <alignment horizontal="center" vertical="center"/>
      <protection hidden="1"/>
    </xf>
    <xf numFmtId="2" fontId="32" fillId="20" borderId="5" xfId="0" applyNumberFormat="1" applyFont="1" applyFill="1" applyBorder="1" applyAlignment="1" applyProtection="1">
      <alignment horizontal="center" vertical="center"/>
      <protection hidden="1"/>
    </xf>
    <xf numFmtId="168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27" xfId="0" applyFont="1" applyFill="1" applyBorder="1" applyAlignment="1" applyProtection="1">
      <alignment horizontal="center" vertical="center"/>
      <protection hidden="1"/>
    </xf>
    <xf numFmtId="182" fontId="32" fillId="16" borderId="27" xfId="0" applyNumberFormat="1" applyFont="1" applyFill="1" applyBorder="1" applyAlignment="1" applyProtection="1">
      <alignment horizontal="center" vertical="center"/>
      <protection hidden="1"/>
    </xf>
    <xf numFmtId="0" fontId="32" fillId="16" borderId="27" xfId="0" applyFont="1" applyFill="1" applyBorder="1" applyAlignment="1" applyProtection="1">
      <alignment horizontal="center"/>
      <protection hidden="1"/>
    </xf>
    <xf numFmtId="169" fontId="32" fillId="16" borderId="27" xfId="0" applyNumberFormat="1" applyFont="1" applyFill="1" applyBorder="1" applyAlignment="1" applyProtection="1">
      <alignment horizontal="center" vertical="center"/>
      <protection hidden="1"/>
    </xf>
    <xf numFmtId="168" fontId="32" fillId="16" borderId="5" xfId="0" applyNumberFormat="1" applyFont="1" applyFill="1" applyBorder="1" applyAlignment="1" applyProtection="1">
      <alignment horizontal="center" vertical="center"/>
      <protection hidden="1"/>
    </xf>
    <xf numFmtId="182" fontId="32" fillId="16" borderId="5" xfId="0" applyNumberFormat="1" applyFont="1" applyFill="1" applyBorder="1" applyAlignment="1" applyProtection="1">
      <alignment horizontal="center" vertical="center"/>
      <protection hidden="1"/>
    </xf>
    <xf numFmtId="182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8" xfId="4" applyFont="1" applyFill="1" applyBorder="1" applyProtection="1">
      <alignment horizontal="center" vertical="center"/>
      <protection hidden="1"/>
    </xf>
    <xf numFmtId="0" fontId="32" fillId="16" borderId="8" xfId="0" applyFont="1" applyFill="1" applyBorder="1" applyProtection="1">
      <protection hidden="1"/>
    </xf>
    <xf numFmtId="0" fontId="32" fillId="16" borderId="5" xfId="4" applyFont="1" applyFill="1" applyBorder="1" applyProtection="1">
      <alignment horizontal="center" vertical="center"/>
      <protection hidden="1"/>
    </xf>
    <xf numFmtId="0" fontId="32" fillId="16" borderId="5" xfId="0" applyFont="1" applyFill="1" applyBorder="1" applyProtection="1">
      <protection hidden="1"/>
    </xf>
    <xf numFmtId="168" fontId="32" fillId="24" borderId="5" xfId="0" applyNumberFormat="1" applyFont="1" applyFill="1" applyBorder="1" applyAlignment="1" applyProtection="1">
      <alignment horizontal="center" vertical="center"/>
      <protection hidden="1"/>
    </xf>
    <xf numFmtId="182" fontId="32" fillId="25" borderId="5" xfId="0" applyNumberFormat="1" applyFont="1" applyFill="1" applyBorder="1" applyAlignment="1" applyProtection="1">
      <alignment horizontal="center" vertical="center"/>
      <protection hidden="1"/>
    </xf>
    <xf numFmtId="0" fontId="32" fillId="24" borderId="5" xfId="4" applyFont="1" applyFill="1" applyBorder="1" applyProtection="1">
      <alignment horizontal="center" vertical="center"/>
      <protection hidden="1"/>
    </xf>
    <xf numFmtId="168" fontId="32" fillId="24" borderId="8" xfId="0" applyNumberFormat="1" applyFont="1" applyFill="1" applyBorder="1" applyAlignment="1" applyProtection="1">
      <alignment horizontal="center" vertical="center"/>
      <protection hidden="1"/>
    </xf>
    <xf numFmtId="182" fontId="32" fillId="25" borderId="8" xfId="0" applyNumberFormat="1" applyFont="1" applyFill="1" applyBorder="1" applyAlignment="1" applyProtection="1">
      <alignment horizontal="center" vertical="center"/>
      <protection hidden="1"/>
    </xf>
    <xf numFmtId="0" fontId="32" fillId="24" borderId="8" xfId="4" applyFont="1" applyFill="1" applyBorder="1" applyProtection="1">
      <alignment horizontal="center" vertical="center"/>
      <protection hidden="1"/>
    </xf>
    <xf numFmtId="0" fontId="32" fillId="16" borderId="52" xfId="0" applyFont="1" applyFill="1" applyBorder="1" applyAlignment="1" applyProtection="1">
      <alignment horizontal="center" vertical="center"/>
      <protection hidden="1"/>
    </xf>
    <xf numFmtId="0" fontId="32" fillId="16" borderId="51" xfId="0" applyFont="1" applyFill="1" applyBorder="1" applyAlignment="1" applyProtection="1">
      <alignment horizontal="center" vertical="center"/>
      <protection hidden="1"/>
    </xf>
    <xf numFmtId="171" fontId="31" fillId="20" borderId="39" xfId="0" applyNumberFormat="1" applyFont="1" applyFill="1" applyBorder="1" applyAlignment="1" applyProtection="1">
      <alignment horizontal="center" vertical="center"/>
      <protection hidden="1"/>
    </xf>
    <xf numFmtId="171" fontId="31" fillId="20" borderId="42" xfId="0" applyNumberFormat="1" applyFont="1" applyFill="1" applyBorder="1" applyAlignment="1" applyProtection="1">
      <alignment horizontal="center" vertical="center"/>
      <protection hidden="1"/>
    </xf>
    <xf numFmtId="2" fontId="31" fillId="20" borderId="5" xfId="0" applyNumberFormat="1" applyFont="1" applyFill="1" applyBorder="1" applyAlignment="1" applyProtection="1">
      <alignment horizontal="center" vertical="center"/>
      <protection hidden="1"/>
    </xf>
    <xf numFmtId="2" fontId="31" fillId="20" borderId="1" xfId="0" applyNumberFormat="1" applyFont="1" applyFill="1" applyBorder="1" applyAlignment="1" applyProtection="1">
      <alignment horizontal="center" vertical="center"/>
      <protection hidden="1"/>
    </xf>
    <xf numFmtId="2" fontId="31" fillId="20" borderId="8" xfId="0" applyNumberFormat="1" applyFont="1" applyFill="1" applyBorder="1" applyAlignment="1" applyProtection="1">
      <alignment horizontal="center" vertical="center"/>
      <protection hidden="1"/>
    </xf>
    <xf numFmtId="0" fontId="32" fillId="20" borderId="5" xfId="0" applyFont="1" applyFill="1" applyBorder="1" applyAlignment="1" applyProtection="1">
      <alignment horizontal="center" vertical="center" wrapText="1"/>
      <protection hidden="1"/>
    </xf>
    <xf numFmtId="0" fontId="0" fillId="20" borderId="5" xfId="0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vertical="center" wrapText="1"/>
      <protection hidden="1"/>
    </xf>
    <xf numFmtId="4" fontId="31" fillId="20" borderId="5" xfId="0" applyNumberFormat="1" applyFont="1" applyFill="1" applyBorder="1" applyAlignment="1" applyProtection="1">
      <alignment horizontal="center" vertical="center" wrapText="1"/>
      <protection hidden="1"/>
    </xf>
    <xf numFmtId="179" fontId="31" fillId="20" borderId="39" xfId="0" applyNumberFormat="1" applyFont="1" applyFill="1" applyBorder="1" applyAlignment="1" applyProtection="1">
      <alignment horizontal="center" vertical="center" wrapText="1"/>
      <protection hidden="1"/>
    </xf>
    <xf numFmtId="4" fontId="31" fillId="20" borderId="1" xfId="0" applyNumberFormat="1" applyFont="1" applyFill="1" applyBorder="1" applyAlignment="1" applyProtection="1">
      <alignment horizontal="center" vertical="center" wrapText="1"/>
      <protection hidden="1"/>
    </xf>
    <xf numFmtId="4" fontId="31" fillId="20" borderId="8" xfId="0" applyNumberFormat="1" applyFont="1" applyFill="1" applyBorder="1" applyAlignment="1" applyProtection="1">
      <alignment horizontal="center" vertical="center" wrapText="1"/>
      <protection hidden="1"/>
    </xf>
    <xf numFmtId="1" fontId="9" fillId="14" borderId="16" xfId="3" applyNumberFormat="1" applyFont="1" applyBorder="1" applyAlignment="1" applyProtection="1">
      <alignment horizontal="center" vertical="center" wrapText="1"/>
      <protection locked="0" hidden="1"/>
    </xf>
    <xf numFmtId="188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7" fillId="9" borderId="20" xfId="0" applyNumberFormat="1" applyFont="1" applyFill="1" applyBorder="1" applyAlignment="1" applyProtection="1">
      <alignment horizontal="center" vertical="center"/>
      <protection hidden="1"/>
    </xf>
    <xf numFmtId="189" fontId="7" fillId="7" borderId="4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5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39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41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8" xfId="0" applyNumberFormat="1" applyFont="1" applyFill="1" applyBorder="1" applyAlignment="1" applyProtection="1">
      <alignment horizontal="center" vertical="center"/>
      <protection locked="0"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1" fontId="7" fillId="6" borderId="70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71" xfId="0" applyNumberFormat="1" applyFont="1" applyFill="1" applyBorder="1" applyAlignment="1" applyProtection="1">
      <alignment horizontal="center" vertical="center" wrapText="1"/>
      <protection hidden="1"/>
    </xf>
    <xf numFmtId="191" fontId="7" fillId="7" borderId="12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45" xfId="0" applyNumberFormat="1" applyFont="1" applyFill="1" applyBorder="1" applyAlignment="1" applyProtection="1">
      <alignment horizontal="center" vertical="center"/>
      <protection locked="0" hidden="1"/>
    </xf>
    <xf numFmtId="189" fontId="7" fillId="7" borderId="33" xfId="0" applyNumberFormat="1" applyFont="1" applyFill="1" applyBorder="1" applyAlignment="1" applyProtection="1">
      <alignment horizontal="center" vertical="center"/>
      <protection locked="0" hidden="1"/>
    </xf>
    <xf numFmtId="171" fontId="7" fillId="9" borderId="42" xfId="0" applyNumberFormat="1" applyFont="1" applyFill="1" applyBorder="1" applyAlignment="1" applyProtection="1">
      <alignment horizontal="center" vertical="center"/>
      <protection hidden="1"/>
    </xf>
    <xf numFmtId="171" fontId="7" fillId="9" borderId="3" xfId="0" applyNumberFormat="1" applyFont="1" applyFill="1" applyBorder="1" applyAlignment="1" applyProtection="1">
      <alignment horizontal="center" vertical="center"/>
      <protection hidden="1"/>
    </xf>
    <xf numFmtId="171" fontId="7" fillId="9" borderId="13" xfId="0" applyNumberFormat="1" applyFont="1" applyFill="1" applyBorder="1" applyAlignment="1" applyProtection="1">
      <alignment horizontal="center" vertical="center"/>
      <protection hidden="1"/>
    </xf>
    <xf numFmtId="171" fontId="7" fillId="6" borderId="70" xfId="0" applyNumberFormat="1" applyFont="1" applyFill="1" applyBorder="1" applyAlignment="1" applyProtection="1">
      <alignment horizontal="center" vertical="center"/>
      <protection hidden="1"/>
    </xf>
    <xf numFmtId="171" fontId="7" fillId="6" borderId="71" xfId="0" applyNumberFormat="1" applyFont="1" applyFill="1" applyBorder="1" applyAlignment="1" applyProtection="1">
      <alignment horizontal="center" vertical="center"/>
      <protection hidden="1"/>
    </xf>
    <xf numFmtId="171" fontId="7" fillId="9" borderId="18" xfId="0" applyNumberFormat="1" applyFont="1" applyFill="1" applyBorder="1" applyAlignment="1" applyProtection="1">
      <alignment horizontal="center" vertical="center"/>
      <protection hidden="1"/>
    </xf>
    <xf numFmtId="171" fontId="7" fillId="9" borderId="20" xfId="0" applyNumberFormat="1" applyFont="1" applyFill="1" applyBorder="1" applyAlignment="1" applyProtection="1">
      <alignment horizontal="center" vertical="center"/>
      <protection hidden="1"/>
    </xf>
    <xf numFmtId="171" fontId="7" fillId="9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9" xfId="0" applyNumberFormat="1" applyFont="1" applyFill="1" applyBorder="1" applyAlignment="1" applyProtection="1">
      <alignment horizontal="center" vertical="center"/>
      <protection hidden="1"/>
    </xf>
    <xf numFmtId="2" fontId="7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6" xfId="0" applyNumberFormat="1" applyFont="1" applyFill="1" applyBorder="1" applyAlignment="1" applyProtection="1">
      <alignment horizontal="center" vertical="center" wrapText="1"/>
      <protection hidden="1"/>
    </xf>
    <xf numFmtId="190" fontId="7" fillId="7" borderId="41" xfId="0" applyNumberFormat="1" applyFont="1" applyFill="1" applyBorder="1" applyAlignment="1" applyProtection="1">
      <alignment horizontal="center" vertical="center"/>
      <protection locked="0" hidden="1"/>
    </xf>
    <xf numFmtId="2" fontId="7" fillId="6" borderId="57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5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50" xfId="0" applyNumberFormat="1" applyFont="1" applyFill="1" applyBorder="1" applyAlignment="1" applyProtection="1">
      <alignment horizontal="left" vertical="center"/>
      <protection hidden="1"/>
    </xf>
    <xf numFmtId="2" fontId="7" fillId="6" borderId="58" xfId="0" applyNumberFormat="1" applyFont="1" applyFill="1" applyBorder="1" applyAlignment="1" applyProtection="1">
      <alignment horizontal="left" vertical="center"/>
      <protection hidden="1"/>
    </xf>
    <xf numFmtId="168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8" xfId="0" applyNumberFormat="1" applyFont="1" applyFill="1" applyBorder="1" applyAlignment="1" applyProtection="1">
      <alignment horizontal="center" vertical="center" wrapText="1"/>
      <protection hidden="1"/>
    </xf>
    <xf numFmtId="3" fontId="32" fillId="20" borderId="4" xfId="0" applyNumberFormat="1" applyFont="1" applyFill="1" applyBorder="1" applyAlignment="1" applyProtection="1">
      <alignment horizontal="center" vertical="center"/>
      <protection hidden="1"/>
    </xf>
    <xf numFmtId="3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69" fontId="32" fillId="20" borderId="39" xfId="0" applyNumberFormat="1" applyFont="1" applyFill="1" applyBorder="1" applyAlignment="1" applyProtection="1">
      <alignment horizontal="center" vertical="center"/>
      <protection hidden="1"/>
    </xf>
    <xf numFmtId="3" fontId="32" fillId="20" borderId="41" xfId="0" applyNumberFormat="1" applyFont="1" applyFill="1" applyBorder="1" applyAlignment="1" applyProtection="1">
      <alignment horizontal="center" vertical="center"/>
      <protection hidden="1"/>
    </xf>
    <xf numFmtId="3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 vertical="center"/>
      <protection hidden="1"/>
    </xf>
    <xf numFmtId="2" fontId="32" fillId="20" borderId="1" xfId="0" applyNumberFormat="1" applyFont="1" applyFill="1" applyBorder="1" applyAlignment="1" applyProtection="1">
      <alignment horizontal="center" vertical="center"/>
      <protection hidden="1"/>
    </xf>
    <xf numFmtId="169" fontId="32" fillId="20" borderId="42" xfId="0" applyNumberFormat="1" applyFont="1" applyFill="1" applyBorder="1" applyAlignment="1" applyProtection="1">
      <alignment horizontal="center" vertical="center"/>
      <protection hidden="1"/>
    </xf>
    <xf numFmtId="49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3" fontId="32" fillId="20" borderId="7" xfId="0" applyNumberFormat="1" applyFont="1" applyFill="1" applyBorder="1" applyAlignment="1" applyProtection="1">
      <alignment horizontal="center" vertical="center"/>
      <protection hidden="1"/>
    </xf>
    <xf numFmtId="0" fontId="32" fillId="20" borderId="8" xfId="0" applyFont="1" applyFill="1" applyBorder="1" applyAlignment="1" applyProtection="1">
      <alignment horizontal="center" vertical="center"/>
      <protection hidden="1"/>
    </xf>
    <xf numFmtId="3" fontId="32" fillId="20" borderId="8" xfId="0" applyNumberFormat="1" applyFont="1" applyFill="1" applyBorder="1" applyAlignment="1" applyProtection="1">
      <alignment horizontal="center" vertical="center"/>
      <protection hidden="1"/>
    </xf>
    <xf numFmtId="0" fontId="32" fillId="20" borderId="8" xfId="0" applyFont="1" applyFill="1" applyBorder="1" applyAlignment="1" applyProtection="1">
      <alignment horizontal="center" vertical="center" wrapText="1"/>
      <protection hidden="1"/>
    </xf>
    <xf numFmtId="169" fontId="32" fillId="20" borderId="8" xfId="0" applyNumberFormat="1" applyFont="1" applyFill="1" applyBorder="1" applyAlignment="1" applyProtection="1">
      <alignment horizontal="center" vertical="center"/>
      <protection hidden="1"/>
    </xf>
    <xf numFmtId="169" fontId="32" fillId="20" borderId="12" xfId="0" applyNumberFormat="1" applyFont="1" applyFill="1" applyBorder="1" applyAlignment="1" applyProtection="1">
      <alignment horizontal="center" vertical="center"/>
      <protection hidden="1"/>
    </xf>
    <xf numFmtId="187" fontId="7" fillId="2" borderId="0" xfId="0" applyNumberFormat="1" applyFont="1" applyFill="1" applyBorder="1" applyAlignment="1" applyProtection="1">
      <alignment horizontal="center"/>
      <protection hidden="1"/>
    </xf>
    <xf numFmtId="170" fontId="13" fillId="9" borderId="5" xfId="0" applyNumberFormat="1" applyFont="1" applyFill="1" applyBorder="1" applyAlignment="1" applyProtection="1">
      <alignment horizontal="center" vertical="center"/>
      <protection hidden="1"/>
    </xf>
    <xf numFmtId="14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11" fontId="7" fillId="9" borderId="6" xfId="0" applyNumberFormat="1" applyFont="1" applyFill="1" applyBorder="1" applyAlignment="1" applyProtection="1">
      <alignment horizontal="center" vertical="center"/>
      <protection hidden="1"/>
    </xf>
    <xf numFmtId="2" fontId="7" fillId="20" borderId="48" xfId="0" applyNumberFormat="1" applyFont="1" applyFill="1" applyBorder="1" applyProtection="1">
      <protection hidden="1"/>
    </xf>
    <xf numFmtId="2" fontId="18" fillId="20" borderId="75" xfId="0" applyNumberFormat="1" applyFont="1" applyFill="1" applyBorder="1" applyAlignment="1" applyProtection="1">
      <alignment vertical="center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1" fontId="7" fillId="0" borderId="0" xfId="0" applyNumberFormat="1" applyFont="1" applyFill="1" applyProtection="1"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164" fontId="31" fillId="20" borderId="5" xfId="0" applyNumberFormat="1" applyFont="1" applyFill="1" applyBorder="1" applyAlignment="1" applyProtection="1">
      <alignment horizontal="center" vertical="center"/>
      <protection hidden="1"/>
    </xf>
    <xf numFmtId="171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78" fontId="0" fillId="20" borderId="1" xfId="0" applyNumberFormat="1" applyFill="1" applyBorder="1" applyAlignment="1" applyProtection="1">
      <alignment horizontal="center" vertical="center" wrapText="1"/>
      <protection hidden="1"/>
    </xf>
    <xf numFmtId="4" fontId="0" fillId="20" borderId="1" xfId="0" applyNumberFormat="1" applyFill="1" applyBorder="1" applyAlignment="1" applyProtection="1">
      <alignment horizontal="center" vertical="center" wrapText="1"/>
      <protection hidden="1"/>
    </xf>
    <xf numFmtId="0" fontId="32" fillId="20" borderId="20" xfId="0" applyFont="1" applyFill="1" applyBorder="1" applyAlignment="1" applyProtection="1">
      <alignment horizontal="center" vertical="center" wrapText="1"/>
      <protection hidden="1"/>
    </xf>
    <xf numFmtId="0" fontId="0" fillId="20" borderId="20" xfId="0" applyFill="1" applyBorder="1" applyAlignment="1" applyProtection="1">
      <alignment horizontal="center" vertical="center" wrapText="1"/>
      <protection hidden="1"/>
    </xf>
    <xf numFmtId="3" fontId="31" fillId="21" borderId="4" xfId="0" applyNumberFormat="1" applyFont="1" applyFill="1" applyBorder="1" applyAlignment="1" applyProtection="1">
      <alignment horizontal="center" vertical="center" wrapText="1"/>
      <protection hidden="1"/>
    </xf>
    <xf numFmtId="171" fontId="8" fillId="20" borderId="47" xfId="0" applyNumberFormat="1" applyFont="1" applyFill="1" applyBorder="1" applyAlignment="1" applyProtection="1">
      <alignment horizontal="center" vertical="center"/>
      <protection hidden="1"/>
    </xf>
    <xf numFmtId="169" fontId="9" fillId="20" borderId="1" xfId="0" applyNumberFormat="1" applyFont="1" applyFill="1" applyBorder="1" applyAlignment="1" applyProtection="1">
      <alignment horizontal="center" vertical="center"/>
      <protection hidden="1"/>
    </xf>
    <xf numFmtId="1" fontId="9" fillId="9" borderId="65" xfId="0" applyNumberFormat="1" applyFont="1" applyFill="1" applyBorder="1" applyAlignment="1" applyProtection="1">
      <alignment horizontal="center" vertical="center"/>
      <protection hidden="1"/>
    </xf>
    <xf numFmtId="1" fontId="9" fillId="9" borderId="66" xfId="0" applyNumberFormat="1" applyFont="1" applyFill="1" applyBorder="1" applyAlignment="1" applyProtection="1">
      <alignment horizontal="center" vertical="center"/>
      <protection hidden="1"/>
    </xf>
    <xf numFmtId="1" fontId="9" fillId="9" borderId="67" xfId="0" applyNumberFormat="1" applyFont="1" applyFill="1" applyBorder="1" applyAlignment="1" applyProtection="1">
      <alignment horizontal="center" vertical="center"/>
      <protection hidden="1"/>
    </xf>
    <xf numFmtId="1" fontId="9" fillId="20" borderId="67" xfId="0" applyNumberFormat="1" applyFont="1" applyFill="1" applyBorder="1" applyAlignment="1" applyProtection="1">
      <alignment horizontal="center" vertical="center"/>
      <protection hidden="1"/>
    </xf>
    <xf numFmtId="169" fontId="9" fillId="20" borderId="41" xfId="0" applyNumberFormat="1" applyFont="1" applyFill="1" applyBorder="1" applyAlignment="1" applyProtection="1">
      <alignment horizontal="center" vertical="center"/>
      <protection hidden="1"/>
    </xf>
    <xf numFmtId="169" fontId="9" fillId="9" borderId="56" xfId="0" applyNumberFormat="1" applyFont="1" applyFill="1" applyBorder="1" applyAlignment="1" applyProtection="1">
      <alignment horizontal="center" vertical="center"/>
      <protection hidden="1"/>
    </xf>
    <xf numFmtId="169" fontId="9" fillId="9" borderId="2" xfId="0" applyNumberFormat="1" applyFont="1" applyFill="1" applyBorder="1" applyAlignment="1" applyProtection="1">
      <alignment horizontal="center" vertical="center"/>
      <protection hidden="1"/>
    </xf>
    <xf numFmtId="169" fontId="9" fillId="20" borderId="2" xfId="0" applyNumberFormat="1" applyFont="1" applyFill="1" applyBorder="1" applyAlignment="1" applyProtection="1">
      <alignment horizontal="center" vertical="center"/>
      <protection hidden="1"/>
    </xf>
    <xf numFmtId="171" fontId="8" fillId="20" borderId="21" xfId="0" applyNumberFormat="1" applyFont="1" applyFill="1" applyBorder="1" applyAlignment="1" applyProtection="1">
      <alignment horizontal="center" vertical="center"/>
      <protection hidden="1"/>
    </xf>
    <xf numFmtId="2" fontId="9" fillId="9" borderId="69" xfId="0" applyNumberFormat="1" applyFont="1" applyFill="1" applyBorder="1" applyAlignment="1" applyProtection="1">
      <alignment horizontal="center" vertical="center"/>
      <protection hidden="1"/>
    </xf>
    <xf numFmtId="2" fontId="9" fillId="9" borderId="70" xfId="0" applyNumberFormat="1" applyFont="1" applyFill="1" applyBorder="1" applyAlignment="1" applyProtection="1">
      <alignment horizontal="center" vertical="center"/>
      <protection hidden="1"/>
    </xf>
    <xf numFmtId="2" fontId="9" fillId="20" borderId="70" xfId="0" applyNumberFormat="1" applyFont="1" applyFill="1" applyBorder="1" applyAlignment="1" applyProtection="1">
      <alignment horizontal="center" vertical="center"/>
      <protection hidden="1"/>
    </xf>
    <xf numFmtId="2" fontId="9" fillId="20" borderId="35" xfId="0" applyNumberFormat="1" applyFont="1" applyFill="1" applyBorder="1" applyAlignment="1" applyProtection="1">
      <alignment horizontal="center" vertical="center"/>
      <protection hidden="1"/>
    </xf>
    <xf numFmtId="171" fontId="13" fillId="9" borderId="35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Alignment="1" applyProtection="1">
      <alignment vertical="center"/>
      <protection hidden="1"/>
    </xf>
    <xf numFmtId="9" fontId="32" fillId="6" borderId="42" xfId="0" applyNumberFormat="1" applyFont="1" applyFill="1" applyBorder="1" applyAlignment="1" applyProtection="1">
      <alignment horizontal="center" vertical="center"/>
      <protection hidden="1"/>
    </xf>
    <xf numFmtId="164" fontId="7" fillId="9" borderId="8" xfId="0" applyNumberFormat="1" applyFont="1" applyFill="1" applyBorder="1" applyAlignment="1" applyProtection="1">
      <alignment horizontal="center" vertical="center"/>
      <protection hidden="1"/>
    </xf>
    <xf numFmtId="11" fontId="7" fillId="9" borderId="5" xfId="0" applyNumberFormat="1" applyFont="1" applyFill="1" applyBorder="1" applyAlignment="1" applyProtection="1">
      <alignment horizontal="center" vertical="center"/>
      <protection hidden="1"/>
    </xf>
    <xf numFmtId="11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0" borderId="9" xfId="0" applyNumberFormat="1" applyFont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43" xfId="0" applyNumberFormat="1" applyFont="1" applyBorder="1" applyAlignment="1" applyProtection="1">
      <alignment horizontal="center" vertical="center" wrapText="1"/>
      <protection hidden="1"/>
    </xf>
    <xf numFmtId="2" fontId="7" fillId="2" borderId="44" xfId="0" applyNumberFormat="1" applyFont="1" applyFill="1" applyBorder="1" applyAlignment="1" applyProtection="1">
      <alignment horizontal="center" vertical="center"/>
      <protection hidden="1"/>
    </xf>
    <xf numFmtId="2" fontId="7" fillId="2" borderId="43" xfId="0" applyNumberFormat="1" applyFont="1" applyFill="1" applyBorder="1" applyProtection="1">
      <protection hidden="1"/>
    </xf>
    <xf numFmtId="2" fontId="7" fillId="2" borderId="44" xfId="0" applyNumberFormat="1" applyFont="1" applyFill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 vertical="center"/>
      <protection hidden="1"/>
    </xf>
    <xf numFmtId="164" fontId="7" fillId="2" borderId="42" xfId="0" applyNumberFormat="1" applyFont="1" applyFill="1" applyBorder="1" applyAlignment="1" applyProtection="1">
      <alignment horizontal="center" vertical="center"/>
      <protection hidden="1"/>
    </xf>
    <xf numFmtId="2" fontId="7" fillId="2" borderId="41" xfId="0" applyNumberFormat="1" applyFont="1" applyFill="1" applyBorder="1" applyProtection="1">
      <protection hidden="1"/>
    </xf>
    <xf numFmtId="2" fontId="7" fillId="2" borderId="42" xfId="0" applyNumberFormat="1" applyFont="1" applyFill="1" applyBorder="1" applyProtection="1">
      <protection hidden="1"/>
    </xf>
    <xf numFmtId="2" fontId="7" fillId="0" borderId="7" xfId="0" applyNumberFormat="1" applyFont="1" applyBorder="1" applyAlignment="1" applyProtection="1">
      <alignment horizontal="center" vertical="center"/>
      <protection hidden="1"/>
    </xf>
    <xf numFmtId="2" fontId="7" fillId="2" borderId="12" xfId="0" applyNumberFormat="1" applyFont="1" applyFill="1" applyBorder="1" applyAlignment="1" applyProtection="1">
      <alignment horizontal="center" vertical="center"/>
      <protection hidden="1"/>
    </xf>
    <xf numFmtId="2" fontId="7" fillId="2" borderId="7" xfId="0" applyNumberFormat="1" applyFont="1" applyFill="1" applyBorder="1" applyProtection="1">
      <protection hidden="1"/>
    </xf>
    <xf numFmtId="2" fontId="7" fillId="2" borderId="12" xfId="0" applyNumberFormat="1" applyFont="1" applyFill="1" applyBorder="1" applyProtection="1">
      <protection hidden="1"/>
    </xf>
    <xf numFmtId="0" fontId="28" fillId="2" borderId="0" xfId="0" applyFont="1" applyFill="1" applyBorder="1" applyAlignment="1" applyProtection="1">
      <alignment vertical="center" wrapText="1"/>
      <protection hidden="1"/>
    </xf>
    <xf numFmtId="0" fontId="32" fillId="20" borderId="39" xfId="0" applyFont="1" applyFill="1" applyBorder="1" applyAlignment="1" applyProtection="1">
      <alignment horizontal="center" vertical="center" wrapText="1"/>
      <protection hidden="1"/>
    </xf>
    <xf numFmtId="0" fontId="32" fillId="20" borderId="42" xfId="0" applyFont="1" applyFill="1" applyBorder="1" applyAlignment="1" applyProtection="1">
      <alignment horizontal="center" vertical="center" wrapText="1"/>
      <protection hidden="1"/>
    </xf>
    <xf numFmtId="0" fontId="32" fillId="20" borderId="12" xfId="0" applyFont="1" applyFill="1" applyBorder="1" applyAlignment="1" applyProtection="1">
      <alignment horizontal="center" vertical="center" wrapText="1"/>
      <protection hidden="1"/>
    </xf>
    <xf numFmtId="0" fontId="30" fillId="13" borderId="14" xfId="0" applyFont="1" applyFill="1" applyBorder="1" applyAlignment="1" applyProtection="1">
      <alignment horizontal="center" vertical="center"/>
      <protection hidden="1"/>
    </xf>
    <xf numFmtId="0" fontId="30" fillId="13" borderId="15" xfId="0" applyFont="1" applyFill="1" applyBorder="1" applyAlignment="1" applyProtection="1">
      <alignment horizontal="center" vertical="center"/>
      <protection hidden="1"/>
    </xf>
    <xf numFmtId="0" fontId="30" fillId="13" borderId="16" xfId="0" applyFont="1" applyFill="1" applyBorder="1" applyAlignment="1" applyProtection="1">
      <alignment horizontal="center" vertical="center"/>
      <protection hidden="1"/>
    </xf>
    <xf numFmtId="0" fontId="29" fillId="6" borderId="14" xfId="0" applyFont="1" applyFill="1" applyBorder="1" applyAlignment="1" applyProtection="1">
      <alignment horizontal="center" vertical="center"/>
      <protection hidden="1"/>
    </xf>
    <xf numFmtId="0" fontId="29" fillId="6" borderId="15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3" fontId="31" fillId="18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3" fontId="31" fillId="21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21" borderId="47" xfId="0" applyFill="1" applyBorder="1" applyAlignment="1" applyProtection="1">
      <alignment horizontal="center" vertical="center" wrapText="1"/>
      <protection hidden="1"/>
    </xf>
    <xf numFmtId="3" fontId="31" fillId="22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22" borderId="31" xfId="0" applyFill="1" applyBorder="1" applyAlignment="1" applyProtection="1">
      <alignment horizontal="center" vertical="center" wrapText="1"/>
      <protection hidden="1"/>
    </xf>
    <xf numFmtId="0" fontId="0" fillId="22" borderId="54" xfId="0" applyFill="1" applyBorder="1" applyAlignment="1" applyProtection="1">
      <alignment horizontal="center" vertical="center" wrapText="1"/>
      <protection hidden="1"/>
    </xf>
    <xf numFmtId="3" fontId="31" fillId="2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3" xfId="0" applyFill="1" applyBorder="1" applyAlignment="1" applyProtection="1">
      <alignment horizontal="center" vertical="center" wrapText="1"/>
      <protection hidden="1"/>
    </xf>
    <xf numFmtId="0" fontId="0" fillId="20" borderId="13" xfId="0" applyFill="1" applyBorder="1" applyAlignment="1" applyProtection="1">
      <alignment horizontal="center" vertical="center" wrapText="1"/>
      <protection hidden="1"/>
    </xf>
    <xf numFmtId="168" fontId="31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4" fontId="31" fillId="2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2" xfId="0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49" fontId="31" fillId="22" borderId="53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8" xfId="0" applyNumberFormat="1" applyFont="1" applyFill="1" applyBorder="1" applyAlignment="1" applyProtection="1">
      <alignment horizontal="center" vertical="center" wrapText="1"/>
      <protection hidden="1"/>
    </xf>
    <xf numFmtId="168" fontId="31" fillId="20" borderId="5" xfId="0" applyNumberFormat="1" applyFont="1" applyFill="1" applyBorder="1" applyAlignment="1" applyProtection="1">
      <alignment horizontal="center" vertical="center" wrapText="1"/>
      <protection hidden="1"/>
    </xf>
    <xf numFmtId="0" fontId="33" fillId="19" borderId="41" xfId="0" applyFont="1" applyFill="1" applyBorder="1" applyAlignment="1" applyProtection="1">
      <alignment horizontal="center" vertical="center"/>
      <protection hidden="1"/>
    </xf>
    <xf numFmtId="0" fontId="33" fillId="19" borderId="1" xfId="0" applyFont="1" applyFill="1" applyBorder="1" applyAlignment="1" applyProtection="1">
      <alignment horizontal="center" vertical="center"/>
      <protection hidden="1"/>
    </xf>
    <xf numFmtId="0" fontId="31" fillId="20" borderId="3" xfId="0" applyFont="1" applyFill="1" applyBorder="1" applyAlignment="1" applyProtection="1">
      <alignment horizontal="center" vertical="center" wrapText="1"/>
      <protection hidden="1"/>
    </xf>
    <xf numFmtId="0" fontId="31" fillId="20" borderId="42" xfId="0" applyFont="1" applyFill="1" applyBorder="1" applyAlignment="1" applyProtection="1">
      <alignment horizontal="center" vertical="center" wrapText="1"/>
      <protection hidden="1"/>
    </xf>
    <xf numFmtId="0" fontId="29" fillId="19" borderId="4" xfId="0" applyFont="1" applyFill="1" applyBorder="1" applyAlignment="1" applyProtection="1">
      <alignment horizontal="center" vertical="center"/>
      <protection hidden="1"/>
    </xf>
    <xf numFmtId="0" fontId="32" fillId="19" borderId="5" xfId="0" applyFont="1" applyFill="1" applyBorder="1" applyAlignment="1" applyProtection="1">
      <alignment horizontal="center" vertical="center"/>
      <protection hidden="1"/>
    </xf>
    <xf numFmtId="0" fontId="32" fillId="19" borderId="41" xfId="0" applyFont="1" applyFill="1" applyBorder="1" applyAlignment="1" applyProtection="1">
      <alignment horizontal="center" vertical="center"/>
      <protection hidden="1"/>
    </xf>
    <xf numFmtId="0" fontId="32" fillId="19" borderId="1" xfId="0" applyFont="1" applyFill="1" applyBorder="1" applyAlignment="1" applyProtection="1">
      <alignment horizontal="center" vertical="center"/>
      <protection hidden="1"/>
    </xf>
    <xf numFmtId="0" fontId="32" fillId="19" borderId="8" xfId="0" applyFont="1" applyFill="1" applyBorder="1" applyAlignment="1" applyProtection="1">
      <alignment horizontal="center" vertical="center"/>
      <protection hidden="1"/>
    </xf>
    <xf numFmtId="0" fontId="31" fillId="20" borderId="63" xfId="0" applyFont="1" applyFill="1" applyBorder="1" applyAlignment="1" applyProtection="1">
      <alignment horizontal="center" vertical="center" wrapText="1"/>
      <protection hidden="1"/>
    </xf>
    <xf numFmtId="0" fontId="33" fillId="19" borderId="7" xfId="0" applyFont="1" applyFill="1" applyBorder="1" applyAlignment="1" applyProtection="1">
      <alignment horizontal="center" vertical="center"/>
      <protection hidden="1"/>
    </xf>
    <xf numFmtId="0" fontId="33" fillId="19" borderId="8" xfId="0" applyFont="1" applyFill="1" applyBorder="1" applyAlignment="1" applyProtection="1">
      <alignment horizontal="center" vertical="center"/>
      <protection hidden="1"/>
    </xf>
    <xf numFmtId="1" fontId="31" fillId="20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3" xfId="0" applyNumberFormat="1" applyFill="1" applyBorder="1" applyAlignment="1" applyProtection="1">
      <alignment horizontal="center" vertical="center" wrapText="1"/>
      <protection hidden="1"/>
    </xf>
    <xf numFmtId="1" fontId="0" fillId="20" borderId="13" xfId="0" applyNumberFormat="1" applyFill="1" applyBorder="1" applyAlignment="1" applyProtection="1">
      <alignment horizontal="center" vertical="center" wrapText="1"/>
      <protection hidden="1"/>
    </xf>
    <xf numFmtId="0" fontId="31" fillId="19" borderId="5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168" fontId="31" fillId="20" borderId="42" xfId="0" applyNumberFormat="1" applyFont="1" applyFill="1" applyBorder="1" applyAlignment="1" applyProtection="1">
      <alignment horizontal="center" vertical="center" wrapText="1"/>
      <protection hidden="1"/>
    </xf>
    <xf numFmtId="0" fontId="31" fillId="20" borderId="39" xfId="0" applyFont="1" applyFill="1" applyBorder="1" applyAlignment="1" applyProtection="1">
      <alignment horizontal="center" vertical="center" wrapText="1"/>
      <protection hidden="1"/>
    </xf>
    <xf numFmtId="1" fontId="31" fillId="20" borderId="63" xfId="0" applyNumberFormat="1" applyFont="1" applyFill="1" applyBorder="1" applyAlignment="1" applyProtection="1">
      <alignment horizontal="center" vertical="center" wrapText="1"/>
      <protection hidden="1"/>
    </xf>
    <xf numFmtId="0" fontId="31" fillId="19" borderId="57" xfId="0" applyFont="1" applyFill="1" applyBorder="1" applyAlignment="1" applyProtection="1">
      <alignment horizontal="center" vertical="center" wrapText="1"/>
      <protection hidden="1"/>
    </xf>
    <xf numFmtId="0" fontId="31" fillId="19" borderId="52" xfId="0" applyFont="1" applyFill="1" applyBorder="1" applyAlignment="1" applyProtection="1">
      <alignment horizontal="center" vertical="center" wrapText="1"/>
      <protection hidden="1"/>
    </xf>
    <xf numFmtId="0" fontId="31" fillId="19" borderId="47" xfId="0" applyFont="1" applyFill="1" applyBorder="1" applyAlignment="1" applyProtection="1">
      <alignment horizontal="center" vertical="center" wrapText="1"/>
      <protection hidden="1"/>
    </xf>
    <xf numFmtId="0" fontId="33" fillId="19" borderId="22" xfId="0" applyFont="1" applyFill="1" applyBorder="1" applyAlignment="1" applyProtection="1">
      <alignment horizontal="center" vertical="center"/>
      <protection hidden="1"/>
    </xf>
    <xf numFmtId="0" fontId="33" fillId="19" borderId="32" xfId="0" applyFont="1" applyFill="1" applyBorder="1" applyAlignment="1" applyProtection="1">
      <alignment horizontal="center" vertical="center"/>
      <protection hidden="1"/>
    </xf>
    <xf numFmtId="0" fontId="33" fillId="19" borderId="24" xfId="0" applyFont="1" applyFill="1" applyBorder="1" applyAlignment="1" applyProtection="1">
      <alignment horizontal="center"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hidden="1"/>
    </xf>
    <xf numFmtId="0" fontId="33" fillId="19" borderId="21" xfId="0" applyFont="1" applyFill="1" applyBorder="1" applyAlignment="1" applyProtection="1">
      <alignment horizontal="center" vertical="center"/>
      <protection hidden="1"/>
    </xf>
    <xf numFmtId="0" fontId="33" fillId="19" borderId="40" xfId="0" applyFont="1" applyFill="1" applyBorder="1" applyAlignment="1" applyProtection="1">
      <alignment horizontal="center" vertical="center"/>
      <protection hidden="1"/>
    </xf>
    <xf numFmtId="0" fontId="29" fillId="19" borderId="22" xfId="0" applyFont="1" applyFill="1" applyBorder="1" applyAlignment="1" applyProtection="1">
      <alignment horizontal="center" vertical="center"/>
      <protection hidden="1"/>
    </xf>
    <xf numFmtId="0" fontId="29" fillId="19" borderId="32" xfId="0" applyFont="1" applyFill="1" applyBorder="1" applyAlignment="1" applyProtection="1">
      <alignment horizontal="center" vertical="center"/>
      <protection hidden="1"/>
    </xf>
    <xf numFmtId="0" fontId="29" fillId="19" borderId="24" xfId="0" applyFont="1" applyFill="1" applyBorder="1" applyAlignment="1" applyProtection="1">
      <alignment horizontal="center" vertical="center"/>
      <protection hidden="1"/>
    </xf>
    <xf numFmtId="0" fontId="29" fillId="19" borderId="0" xfId="0" applyFont="1" applyFill="1" applyBorder="1" applyAlignment="1" applyProtection="1">
      <alignment horizontal="center" vertical="center"/>
      <protection hidden="1"/>
    </xf>
    <xf numFmtId="0" fontId="29" fillId="19" borderId="21" xfId="0" applyFont="1" applyFill="1" applyBorder="1" applyAlignment="1" applyProtection="1">
      <alignment horizontal="center" vertical="center"/>
      <protection hidden="1"/>
    </xf>
    <xf numFmtId="0" fontId="29" fillId="19" borderId="40" xfId="0" applyFont="1" applyFill="1" applyBorder="1" applyAlignment="1" applyProtection="1">
      <alignment horizontal="center" vertical="center"/>
      <protection hidden="1"/>
    </xf>
    <xf numFmtId="0" fontId="33" fillId="19" borderId="23" xfId="0" applyFont="1" applyFill="1" applyBorder="1" applyAlignment="1" applyProtection="1">
      <alignment horizontal="center" vertical="center"/>
      <protection hidden="1"/>
    </xf>
    <xf numFmtId="0" fontId="33" fillId="19" borderId="38" xfId="0" applyFont="1" applyFill="1" applyBorder="1" applyAlignment="1" applyProtection="1">
      <alignment horizontal="center" vertical="center"/>
      <protection hidden="1"/>
    </xf>
    <xf numFmtId="0" fontId="33" fillId="19" borderId="6" xfId="0" applyFont="1" applyFill="1" applyBorder="1" applyAlignment="1" applyProtection="1">
      <alignment horizontal="center" vertical="center"/>
      <protection hidden="1"/>
    </xf>
    <xf numFmtId="0" fontId="32" fillId="19" borderId="50" xfId="0" applyFont="1" applyFill="1" applyBorder="1" applyAlignment="1" applyProtection="1">
      <alignment horizontal="center" vertical="center" wrapText="1"/>
      <protection hidden="1"/>
    </xf>
    <xf numFmtId="0" fontId="32" fillId="6" borderId="55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8" xfId="0" applyFont="1" applyFill="1" applyBorder="1" applyAlignment="1" applyProtection="1">
      <alignment horizontal="center" vertical="center" wrapText="1"/>
      <protection hidden="1"/>
    </xf>
    <xf numFmtId="0" fontId="32" fillId="19" borderId="23" xfId="0" applyFont="1" applyFill="1" applyBorder="1" applyAlignment="1" applyProtection="1">
      <alignment horizontal="center" vertical="center"/>
      <protection hidden="1"/>
    </xf>
    <xf numFmtId="0" fontId="32" fillId="19" borderId="24" xfId="0" applyFont="1" applyFill="1" applyBorder="1" applyAlignment="1" applyProtection="1">
      <alignment horizontal="center" vertical="center"/>
      <protection hidden="1"/>
    </xf>
    <xf numFmtId="0" fontId="32" fillId="19" borderId="38" xfId="0" applyFont="1" applyFill="1" applyBorder="1" applyAlignment="1" applyProtection="1">
      <alignment horizontal="center" vertical="center"/>
      <protection hidden="1"/>
    </xf>
    <xf numFmtId="0" fontId="32" fillId="19" borderId="21" xfId="0" applyFont="1" applyFill="1" applyBorder="1" applyAlignment="1" applyProtection="1">
      <alignment horizontal="center" vertical="center"/>
      <protection hidden="1"/>
    </xf>
    <xf numFmtId="0" fontId="32" fillId="19" borderId="6" xfId="0" applyFont="1" applyFill="1" applyBorder="1" applyAlignment="1" applyProtection="1">
      <alignment horizontal="center" vertical="center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29" fillId="19" borderId="22" xfId="0" applyFont="1" applyFill="1" applyBorder="1" applyAlignment="1" applyProtection="1">
      <alignment horizontal="center" vertical="center" wrapText="1"/>
      <protection hidden="1"/>
    </xf>
    <xf numFmtId="0" fontId="29" fillId="19" borderId="23" xfId="0" applyFont="1" applyFill="1" applyBorder="1" applyAlignment="1" applyProtection="1">
      <alignment horizontal="center" vertical="center" wrapText="1"/>
      <protection hidden="1"/>
    </xf>
    <xf numFmtId="0" fontId="29" fillId="19" borderId="24" xfId="0" applyFont="1" applyFill="1" applyBorder="1" applyAlignment="1" applyProtection="1">
      <alignment horizontal="center" vertical="center" wrapText="1"/>
      <protection hidden="1"/>
    </xf>
    <xf numFmtId="0" fontId="29" fillId="19" borderId="38" xfId="0" applyFont="1" applyFill="1" applyBorder="1" applyAlignment="1" applyProtection="1">
      <alignment horizontal="center" vertical="center" wrapText="1"/>
      <protection hidden="1"/>
    </xf>
    <xf numFmtId="0" fontId="29" fillId="19" borderId="21" xfId="0" applyFont="1" applyFill="1" applyBorder="1" applyAlignment="1" applyProtection="1">
      <alignment horizontal="center" vertical="center" wrapText="1"/>
      <protection hidden="1"/>
    </xf>
    <xf numFmtId="0" fontId="29" fillId="19" borderId="6" xfId="0" applyFont="1" applyFill="1" applyBorder="1" applyAlignment="1" applyProtection="1">
      <alignment horizontal="center" vertical="center" wrapText="1"/>
      <protection hidden="1"/>
    </xf>
    <xf numFmtId="0" fontId="17" fillId="6" borderId="43" xfId="0" applyFont="1" applyFill="1" applyBorder="1" applyAlignment="1" applyProtection="1">
      <alignment horizontal="center" vertical="center" wrapText="1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31" fillId="20" borderId="74" xfId="0" applyFont="1" applyFill="1" applyBorder="1" applyAlignment="1" applyProtection="1">
      <alignment horizontal="center" vertical="center"/>
      <protection hidden="1"/>
    </xf>
    <xf numFmtId="0" fontId="31" fillId="20" borderId="30" xfId="0" applyFont="1" applyFill="1" applyBorder="1" applyAlignment="1" applyProtection="1">
      <alignment horizontal="center" vertical="center"/>
      <protection hidden="1"/>
    </xf>
    <xf numFmtId="0" fontId="31" fillId="20" borderId="18" xfId="0" applyFont="1" applyFill="1" applyBorder="1" applyAlignment="1" applyProtection="1">
      <alignment horizontal="center" vertical="center"/>
      <protection hidden="1"/>
    </xf>
    <xf numFmtId="0" fontId="31" fillId="20" borderId="29" xfId="0" applyFont="1" applyFill="1" applyBorder="1" applyAlignment="1" applyProtection="1">
      <alignment horizontal="center" vertical="center"/>
      <protection hidden="1"/>
    </xf>
    <xf numFmtId="168" fontId="31" fillId="20" borderId="33" xfId="0" applyNumberFormat="1" applyFont="1" applyFill="1" applyBorder="1" applyAlignment="1" applyProtection="1">
      <alignment horizontal="center" vertical="center"/>
      <protection hidden="1"/>
    </xf>
    <xf numFmtId="168" fontId="31" fillId="20" borderId="27" xfId="0" applyNumberFormat="1" applyFont="1" applyFill="1" applyBorder="1" applyAlignment="1" applyProtection="1">
      <alignment horizontal="center" vertical="center"/>
      <protection hidden="1"/>
    </xf>
    <xf numFmtId="168" fontId="31" fillId="20" borderId="20" xfId="0" applyNumberFormat="1" applyFont="1" applyFill="1" applyBorder="1" applyAlignment="1" applyProtection="1">
      <alignment horizontal="center" vertical="center"/>
      <protection hidden="1"/>
    </xf>
    <xf numFmtId="0" fontId="31" fillId="20" borderId="75" xfId="0" applyFont="1" applyFill="1" applyBorder="1" applyAlignment="1" applyProtection="1">
      <alignment horizontal="center" vertical="center"/>
      <protection hidden="1"/>
    </xf>
    <xf numFmtId="49" fontId="29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27" xfId="2" applyNumberFormat="1" applyFont="1" applyFill="1" applyBorder="1" applyAlignment="1" applyProtection="1">
      <alignment horizontal="center" vertical="center"/>
      <protection hidden="1"/>
    </xf>
    <xf numFmtId="49" fontId="29" fillId="6" borderId="48" xfId="2" applyNumberFormat="1" applyFont="1" applyFill="1" applyBorder="1" applyAlignment="1" applyProtection="1">
      <alignment horizontal="center" vertical="center"/>
      <protection hidden="1"/>
    </xf>
    <xf numFmtId="49" fontId="29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4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12" xfId="0" applyNumberFormat="1" applyFont="1" applyFill="1" applyBorder="1" applyAlignment="1" applyProtection="1">
      <alignment horizontal="center" vertical="center" wrapText="1"/>
      <protection hidden="1"/>
    </xf>
    <xf numFmtId="168" fontId="31" fillId="20" borderId="48" xfId="0" applyNumberFormat="1" applyFont="1" applyFill="1" applyBorder="1" applyAlignment="1" applyProtection="1">
      <alignment horizontal="center" vertical="center"/>
      <protection hidden="1"/>
    </xf>
    <xf numFmtId="0" fontId="28" fillId="13" borderId="22" xfId="0" applyFont="1" applyFill="1" applyBorder="1" applyAlignment="1" applyProtection="1">
      <alignment horizontal="center" vertical="center"/>
      <protection hidden="1"/>
    </xf>
    <xf numFmtId="0" fontId="28" fillId="13" borderId="32" xfId="0" applyFont="1" applyFill="1" applyBorder="1" applyAlignment="1" applyProtection="1">
      <alignment horizontal="center" vertical="center"/>
      <protection hidden="1"/>
    </xf>
    <xf numFmtId="0" fontId="28" fillId="13" borderId="23" xfId="0" applyFont="1" applyFill="1" applyBorder="1" applyAlignment="1" applyProtection="1">
      <alignment horizontal="center" vertical="center"/>
      <protection hidden="1"/>
    </xf>
    <xf numFmtId="0" fontId="28" fillId="13" borderId="21" xfId="0" applyFont="1" applyFill="1" applyBorder="1" applyAlignment="1" applyProtection="1">
      <alignment horizontal="center" vertical="center"/>
      <protection hidden="1"/>
    </xf>
    <xf numFmtId="0" fontId="28" fillId="13" borderId="40" xfId="0" applyFont="1" applyFill="1" applyBorder="1" applyAlignment="1" applyProtection="1">
      <alignment horizontal="center" vertical="center"/>
      <protection hidden="1"/>
    </xf>
    <xf numFmtId="0" fontId="28" fillId="13" borderId="6" xfId="0" applyFont="1" applyFill="1" applyBorder="1" applyAlignment="1" applyProtection="1">
      <alignment horizontal="center" vertical="center"/>
      <protection hidden="1"/>
    </xf>
    <xf numFmtId="0" fontId="28" fillId="13" borderId="14" xfId="0" applyFont="1" applyFill="1" applyBorder="1" applyAlignment="1" applyProtection="1">
      <alignment horizontal="center" vertical="center"/>
      <protection hidden="1"/>
    </xf>
    <xf numFmtId="0" fontId="28" fillId="13" borderId="15" xfId="0" applyFont="1" applyFill="1" applyBorder="1" applyAlignment="1" applyProtection="1">
      <alignment horizontal="center" vertical="center"/>
      <protection hidden="1"/>
    </xf>
    <xf numFmtId="0" fontId="28" fillId="13" borderId="16" xfId="0" applyFont="1" applyFill="1" applyBorder="1" applyAlignment="1" applyProtection="1">
      <alignment horizontal="center" vertical="center"/>
      <protection hidden="1"/>
    </xf>
    <xf numFmtId="168" fontId="32" fillId="2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6" borderId="39" xfId="0" applyFont="1" applyFill="1" applyBorder="1" applyAlignment="1" applyProtection="1">
      <alignment horizontal="center" vertical="center"/>
      <protection hidden="1"/>
    </xf>
    <xf numFmtId="0" fontId="29" fillId="6" borderId="46" xfId="0" applyFont="1" applyFill="1" applyBorder="1" applyAlignment="1" applyProtection="1">
      <alignment horizontal="center" vertical="center"/>
      <protection hidden="1"/>
    </xf>
    <xf numFmtId="0" fontId="28" fillId="13" borderId="22" xfId="0" applyFont="1" applyFill="1" applyBorder="1" applyAlignment="1" applyProtection="1">
      <alignment horizontal="center" vertical="center" wrapText="1"/>
      <protection hidden="1"/>
    </xf>
    <xf numFmtId="0" fontId="28" fillId="13" borderId="32" xfId="0" applyFont="1" applyFill="1" applyBorder="1" applyAlignment="1" applyProtection="1">
      <alignment horizontal="center" vertical="center" wrapText="1"/>
      <protection hidden="1"/>
    </xf>
    <xf numFmtId="0" fontId="28" fillId="13" borderId="23" xfId="0" applyFont="1" applyFill="1" applyBorder="1" applyAlignment="1" applyProtection="1">
      <alignment horizontal="center" vertical="center" wrapText="1"/>
      <protection hidden="1"/>
    </xf>
    <xf numFmtId="0" fontId="28" fillId="13" borderId="21" xfId="0" applyFont="1" applyFill="1" applyBorder="1" applyAlignment="1" applyProtection="1">
      <alignment horizontal="center" vertical="center" wrapText="1"/>
      <protection hidden="1"/>
    </xf>
    <xf numFmtId="0" fontId="28" fillId="13" borderId="40" xfId="0" applyFont="1" applyFill="1" applyBorder="1" applyAlignment="1" applyProtection="1">
      <alignment horizontal="center" vertical="center" wrapText="1"/>
      <protection hidden="1"/>
    </xf>
    <xf numFmtId="0" fontId="28" fillId="13" borderId="6" xfId="0" applyFont="1" applyFill="1" applyBorder="1" applyAlignment="1" applyProtection="1">
      <alignment horizontal="center" vertical="center" wrapText="1"/>
      <protection hidden="1"/>
    </xf>
    <xf numFmtId="0" fontId="32" fillId="20" borderId="44" xfId="0" applyFont="1" applyFill="1" applyBorder="1" applyAlignment="1" applyProtection="1">
      <alignment horizontal="center" vertical="center" wrapText="1"/>
      <protection hidden="1"/>
    </xf>
    <xf numFmtId="0" fontId="32" fillId="22" borderId="50" xfId="0" applyFont="1" applyFill="1" applyBorder="1" applyAlignment="1" applyProtection="1">
      <alignment horizontal="center" vertical="center"/>
      <protection hidden="1"/>
    </xf>
    <xf numFmtId="0" fontId="32" fillId="22" borderId="27" xfId="0" applyFont="1" applyFill="1" applyBorder="1" applyAlignment="1" applyProtection="1">
      <alignment horizontal="center" vertical="center"/>
      <protection hidden="1"/>
    </xf>
    <xf numFmtId="0" fontId="32" fillId="22" borderId="48" xfId="0" applyFont="1" applyFill="1" applyBorder="1" applyAlignment="1" applyProtection="1">
      <alignment horizontal="center" vertical="center"/>
      <protection hidden="1"/>
    </xf>
    <xf numFmtId="14" fontId="31" fillId="20" borderId="58" xfId="0" applyNumberFormat="1" applyFont="1" applyFill="1" applyBorder="1" applyAlignment="1" applyProtection="1">
      <alignment horizontal="center" vertical="center"/>
      <protection hidden="1"/>
    </xf>
    <xf numFmtId="14" fontId="31" fillId="20" borderId="51" xfId="0" applyNumberFormat="1" applyFont="1" applyFill="1" applyBorder="1" applyAlignment="1" applyProtection="1">
      <alignment horizontal="center" vertical="center"/>
      <protection hidden="1"/>
    </xf>
    <xf numFmtId="14" fontId="31" fillId="20" borderId="44" xfId="0" applyNumberFormat="1" applyFont="1" applyFill="1" applyBorder="1" applyAlignment="1" applyProtection="1">
      <alignment horizontal="center" vertical="center"/>
      <protection hidden="1"/>
    </xf>
    <xf numFmtId="14" fontId="31" fillId="20" borderId="46" xfId="0" applyNumberFormat="1" applyFont="1" applyFill="1" applyBorder="1" applyAlignment="1" applyProtection="1">
      <alignment horizontal="center" vertical="center"/>
      <protection hidden="1"/>
    </xf>
    <xf numFmtId="0" fontId="31" fillId="20" borderId="46" xfId="0" applyFont="1" applyFill="1" applyBorder="1" applyAlignment="1" applyProtection="1">
      <alignment horizontal="center" vertical="center"/>
      <protection hidden="1"/>
    </xf>
    <xf numFmtId="0" fontId="31" fillId="20" borderId="51" xfId="0" applyFont="1" applyFill="1" applyBorder="1" applyAlignment="1" applyProtection="1">
      <alignment horizontal="center" vertical="center"/>
      <protection hidden="1"/>
    </xf>
    <xf numFmtId="0" fontId="31" fillId="20" borderId="49" xfId="0" applyFont="1" applyFill="1" applyBorder="1" applyAlignment="1" applyProtection="1">
      <alignment horizontal="center" vertical="center"/>
      <protection hidden="1"/>
    </xf>
    <xf numFmtId="168" fontId="31" fillId="20" borderId="50" xfId="0" applyNumberFormat="1" applyFont="1" applyFill="1" applyBorder="1" applyAlignment="1" applyProtection="1">
      <alignment horizontal="center" vertical="center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2" fillId="23" borderId="60" xfId="0" applyFont="1" applyFill="1" applyBorder="1" applyAlignment="1" applyProtection="1">
      <alignment horizontal="center" vertical="center" wrapText="1"/>
      <protection hidden="1"/>
    </xf>
    <xf numFmtId="0" fontId="32" fillId="23" borderId="61" xfId="0" applyFont="1" applyFill="1" applyBorder="1" applyAlignment="1" applyProtection="1">
      <alignment horizontal="center" vertical="center" wrapText="1"/>
      <protection hidden="1"/>
    </xf>
    <xf numFmtId="0" fontId="32" fillId="23" borderId="62" xfId="0" applyFont="1" applyFill="1" applyBorder="1" applyAlignment="1" applyProtection="1">
      <alignment horizontal="center" vertical="center" wrapText="1"/>
      <protection hidden="1"/>
    </xf>
    <xf numFmtId="0" fontId="32" fillId="23" borderId="24" xfId="0" applyFont="1" applyFill="1" applyBorder="1" applyAlignment="1" applyProtection="1">
      <alignment horizontal="center" vertical="center" wrapText="1"/>
      <protection hidden="1"/>
    </xf>
    <xf numFmtId="0" fontId="32" fillId="23" borderId="21" xfId="0" applyFont="1" applyFill="1" applyBorder="1" applyAlignment="1" applyProtection="1">
      <alignment horizontal="center" vertical="center" wrapText="1"/>
      <protection hidden="1"/>
    </xf>
    <xf numFmtId="0" fontId="32" fillId="23" borderId="22" xfId="0" applyFont="1" applyFill="1" applyBorder="1" applyAlignment="1" applyProtection="1">
      <alignment horizontal="center" vertical="center" wrapText="1"/>
      <protection hidden="1"/>
    </xf>
    <xf numFmtId="0" fontId="29" fillId="6" borderId="56" xfId="0" applyFont="1" applyFill="1" applyBorder="1" applyAlignment="1" applyProtection="1">
      <alignment horizontal="center" vertical="center" wrapText="1"/>
      <protection hidden="1"/>
    </xf>
    <xf numFmtId="0" fontId="29" fillId="6" borderId="26" xfId="0" applyFont="1" applyFill="1" applyBorder="1" applyAlignment="1" applyProtection="1">
      <alignment horizontal="center" vertical="center" wrapText="1"/>
      <protection hidden="1"/>
    </xf>
    <xf numFmtId="0" fontId="29" fillId="6" borderId="5" xfId="0" applyFont="1" applyFill="1" applyBorder="1" applyAlignment="1" applyProtection="1">
      <alignment horizontal="center" vertical="center" wrapText="1"/>
      <protection hidden="1"/>
    </xf>
    <xf numFmtId="0" fontId="29" fillId="6" borderId="33" xfId="0" applyFont="1" applyFill="1" applyBorder="1" applyAlignment="1" applyProtection="1">
      <alignment horizontal="center" vertical="center" wrapText="1"/>
      <protection hidden="1"/>
    </xf>
    <xf numFmtId="0" fontId="29" fillId="6" borderId="4" xfId="0" applyFont="1" applyFill="1" applyBorder="1" applyAlignment="1" applyProtection="1">
      <alignment horizontal="center" vertical="center"/>
      <protection hidden="1"/>
    </xf>
    <xf numFmtId="0" fontId="29" fillId="6" borderId="45" xfId="0" applyFont="1" applyFill="1" applyBorder="1" applyAlignment="1" applyProtection="1">
      <alignment horizontal="center" vertical="center"/>
      <protection hidden="1"/>
    </xf>
    <xf numFmtId="0" fontId="29" fillId="6" borderId="5" xfId="0" applyFont="1" applyFill="1" applyBorder="1" applyAlignment="1" applyProtection="1">
      <alignment horizontal="center" vertical="center"/>
      <protection hidden="1"/>
    </xf>
    <xf numFmtId="0" fontId="29" fillId="6" borderId="33" xfId="0" applyFont="1" applyFill="1" applyBorder="1" applyAlignment="1" applyProtection="1">
      <alignment horizontal="center" vertical="center"/>
      <protection hidden="1"/>
    </xf>
    <xf numFmtId="0" fontId="29" fillId="6" borderId="50" xfId="0" applyFont="1" applyFill="1" applyBorder="1" applyAlignment="1" applyProtection="1">
      <alignment horizontal="center" vertical="center" wrapText="1"/>
      <protection hidden="1"/>
    </xf>
    <xf numFmtId="0" fontId="29" fillId="6" borderId="27" xfId="0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0" fontId="29" fillId="6" borderId="4" xfId="0" applyFont="1" applyFill="1" applyBorder="1" applyAlignment="1" applyProtection="1">
      <alignment horizontal="center" vertical="center" wrapText="1"/>
      <protection hidden="1"/>
    </xf>
    <xf numFmtId="0" fontId="29" fillId="6" borderId="7" xfId="0" applyFont="1" applyFill="1" applyBorder="1" applyAlignment="1" applyProtection="1">
      <alignment horizontal="center" vertical="center" wrapText="1"/>
      <protection hidden="1"/>
    </xf>
    <xf numFmtId="0" fontId="29" fillId="6" borderId="39" xfId="0" applyFont="1" applyFill="1" applyBorder="1" applyAlignment="1" applyProtection="1">
      <alignment horizontal="center" vertical="center" wrapText="1"/>
      <protection hidden="1"/>
    </xf>
    <xf numFmtId="0" fontId="29" fillId="6" borderId="12" xfId="0" applyFont="1" applyFill="1" applyBorder="1" applyAlignment="1" applyProtection="1">
      <alignment horizontal="center" vertical="center" wrapText="1"/>
      <protection hidden="1"/>
    </xf>
    <xf numFmtId="0" fontId="31" fillId="23" borderId="22" xfId="0" applyFont="1" applyFill="1" applyBorder="1" applyAlignment="1" applyProtection="1">
      <alignment horizontal="center" vertical="center"/>
      <protection hidden="1"/>
    </xf>
    <xf numFmtId="0" fontId="31" fillId="23" borderId="24" xfId="0" applyFont="1" applyFill="1" applyBorder="1" applyAlignment="1" applyProtection="1">
      <alignment horizontal="center" vertical="center"/>
      <protection hidden="1"/>
    </xf>
    <xf numFmtId="0" fontId="31" fillId="23" borderId="21" xfId="0" applyFont="1" applyFill="1" applyBorder="1" applyAlignment="1" applyProtection="1">
      <alignment horizontal="center" vertical="center"/>
      <protection hidden="1"/>
    </xf>
    <xf numFmtId="49" fontId="29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7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3" xfId="0" applyNumberFormat="1" applyFont="1" applyFill="1" applyBorder="1" applyAlignment="1" applyProtection="1">
      <alignment horizontal="center" vertical="center"/>
      <protection hidden="1"/>
    </xf>
    <xf numFmtId="49" fontId="29" fillId="6" borderId="7" xfId="0" applyNumberFormat="1" applyFont="1" applyFill="1" applyBorder="1" applyAlignment="1" applyProtection="1">
      <alignment horizontal="center" vertical="center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45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38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45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47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8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justify" vertical="center" wrapText="1"/>
      <protection hidden="1"/>
    </xf>
    <xf numFmtId="2" fontId="4" fillId="6" borderId="5" xfId="0" applyNumberFormat="1" applyFont="1" applyFill="1" applyBorder="1" applyAlignment="1" applyProtection="1">
      <alignment horizontal="justify" vertical="center" wrapText="1"/>
      <protection hidden="1"/>
    </xf>
    <xf numFmtId="2" fontId="18" fillId="6" borderId="3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6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3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32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/>
      <protection hidden="1"/>
    </xf>
    <xf numFmtId="2" fontId="28" fillId="3" borderId="15" xfId="0" applyNumberFormat="1" applyFont="1" applyFill="1" applyBorder="1" applyAlignment="1" applyProtection="1">
      <alignment horizontal="center" vertical="center"/>
      <protection hidden="1"/>
    </xf>
    <xf numFmtId="2" fontId="28" fillId="3" borderId="16" xfId="0" applyNumberFormat="1" applyFont="1" applyFill="1" applyBorder="1" applyAlignment="1" applyProtection="1">
      <alignment horizontal="center" vertical="center"/>
      <protection hidden="1"/>
    </xf>
    <xf numFmtId="2" fontId="1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7" xfId="0" applyNumberFormat="1" applyFont="1" applyFill="1" applyBorder="1" applyAlignment="1" applyProtection="1">
      <alignment horizontal="center" vertical="center"/>
      <protection hidden="1"/>
    </xf>
    <xf numFmtId="2" fontId="17" fillId="6" borderId="48" xfId="0" applyNumberFormat="1" applyFont="1" applyFill="1" applyBorder="1" applyAlignment="1" applyProtection="1">
      <alignment horizontal="center" vertical="center"/>
      <protection hidden="1"/>
    </xf>
    <xf numFmtId="2" fontId="17" fillId="6" borderId="49" xfId="0" applyNumberFormat="1" applyFont="1" applyFill="1" applyBorder="1" applyAlignment="1" applyProtection="1">
      <alignment horizontal="center" vertical="center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66" xfId="0" applyNumberFormat="1" applyFont="1" applyFill="1" applyBorder="1" applyAlignment="1" applyProtection="1">
      <alignment horizontal="center"/>
      <protection hidden="1"/>
    </xf>
    <xf numFmtId="2" fontId="13" fillId="20" borderId="14" xfId="0" applyNumberFormat="1" applyFont="1" applyFill="1" applyBorder="1" applyAlignment="1" applyProtection="1">
      <alignment horizontal="center" vertical="center"/>
      <protection hidden="1"/>
    </xf>
    <xf numFmtId="2" fontId="13" fillId="20" borderId="15" xfId="0" applyNumberFormat="1" applyFont="1" applyFill="1" applyBorder="1" applyAlignment="1" applyProtection="1">
      <alignment horizontal="center" vertical="center"/>
      <protection hidden="1"/>
    </xf>
    <xf numFmtId="2" fontId="7" fillId="20" borderId="59" xfId="0" applyNumberFormat="1" applyFont="1" applyFill="1" applyBorder="1" applyAlignment="1" applyProtection="1">
      <alignment horizontal="center" vertical="center"/>
      <protection hidden="1"/>
    </xf>
    <xf numFmtId="2" fontId="28" fillId="3" borderId="21" xfId="0" applyNumberFormat="1" applyFont="1" applyFill="1" applyBorder="1" applyAlignment="1" applyProtection="1">
      <alignment horizontal="center" vertical="center"/>
      <protection hidden="1"/>
    </xf>
    <xf numFmtId="2" fontId="28" fillId="3" borderId="40" xfId="0" applyNumberFormat="1" applyFont="1" applyFill="1" applyBorder="1" applyAlignment="1" applyProtection="1">
      <alignment horizontal="center" vertical="center"/>
      <protection hidden="1"/>
    </xf>
    <xf numFmtId="2" fontId="28" fillId="3" borderId="6" xfId="0" applyNumberFormat="1" applyFont="1" applyFill="1" applyBorder="1" applyAlignment="1" applyProtection="1">
      <alignment horizontal="center" vertical="center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center" vertical="center" wrapText="1"/>
      <protection hidden="1"/>
    </xf>
    <xf numFmtId="2" fontId="28" fillId="3" borderId="22" xfId="0" applyNumberFormat="1" applyFont="1" applyFill="1" applyBorder="1" applyAlignment="1" applyProtection="1">
      <alignment horizontal="center" vertical="center"/>
      <protection hidden="1"/>
    </xf>
    <xf numFmtId="2" fontId="28" fillId="3" borderId="32" xfId="0" applyNumberFormat="1" applyFont="1" applyFill="1" applyBorder="1" applyAlignment="1" applyProtection="1">
      <alignment horizontal="center" vertical="center"/>
      <protection hidden="1"/>
    </xf>
    <xf numFmtId="2" fontId="28" fillId="3" borderId="23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8" fillId="3" borderId="24" xfId="0" applyNumberFormat="1" applyFont="1" applyFill="1" applyBorder="1" applyAlignment="1" applyProtection="1">
      <alignment horizontal="center" vertical="center"/>
      <protection hidden="1"/>
    </xf>
    <xf numFmtId="2" fontId="28" fillId="3" borderId="0" xfId="0" applyNumberFormat="1" applyFont="1" applyFill="1" applyBorder="1" applyAlignment="1" applyProtection="1">
      <alignment horizontal="center" vertical="center"/>
      <protection hidden="1"/>
    </xf>
    <xf numFmtId="2" fontId="28" fillId="3" borderId="38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0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47" fillId="20" borderId="14" xfId="0" applyNumberFormat="1" applyFont="1" applyFill="1" applyBorder="1" applyAlignment="1" applyProtection="1">
      <alignment horizontal="left" vertical="center" wrapText="1"/>
      <protection hidden="1"/>
    </xf>
    <xf numFmtId="2" fontId="47" fillId="20" borderId="15" xfId="0" applyNumberFormat="1" applyFont="1" applyFill="1" applyBorder="1" applyAlignment="1" applyProtection="1">
      <alignment horizontal="left" vertical="center" wrapText="1"/>
      <protection hidden="1"/>
    </xf>
    <xf numFmtId="2" fontId="4" fillId="20" borderId="62" xfId="0" applyNumberFormat="1" applyFont="1" applyFill="1" applyBorder="1" applyAlignment="1" applyProtection="1">
      <alignment horizontal="left" vertical="center" wrapText="1"/>
      <protection hidden="1"/>
    </xf>
    <xf numFmtId="2" fontId="4" fillId="20" borderId="59" xfId="0" applyNumberFormat="1" applyFont="1" applyFill="1" applyBorder="1" applyAlignment="1" applyProtection="1">
      <alignment horizontal="left" vertical="center" wrapText="1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0" fontId="36" fillId="3" borderId="7" xfId="0" applyFont="1" applyFill="1" applyBorder="1" applyAlignment="1" applyProtection="1">
      <alignment horizontal="center" vertical="center" wrapText="1"/>
      <protection hidden="1"/>
    </xf>
    <xf numFmtId="0" fontId="36" fillId="3" borderId="8" xfId="0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2" fontId="30" fillId="8" borderId="14" xfId="0" applyNumberFormat="1" applyFont="1" applyFill="1" applyBorder="1" applyAlignment="1" applyProtection="1">
      <alignment horizontal="center" vertical="center"/>
      <protection hidden="1"/>
    </xf>
    <xf numFmtId="2" fontId="30" fillId="8" borderId="15" xfId="0" applyNumberFormat="1" applyFont="1" applyFill="1" applyBorder="1" applyAlignment="1" applyProtection="1">
      <alignment horizontal="center" vertical="center"/>
      <protection hidden="1"/>
    </xf>
    <xf numFmtId="2" fontId="30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49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22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32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23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24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0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38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21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40" xfId="0" applyNumberFormat="1" applyFont="1" applyFill="1" applyBorder="1" applyAlignment="1" applyProtection="1">
      <alignment horizontal="left" vertical="top" wrapText="1"/>
      <protection locked="0" hidden="1"/>
    </xf>
    <xf numFmtId="2" fontId="7" fillId="2" borderId="6" xfId="0" applyNumberFormat="1" applyFont="1" applyFill="1" applyBorder="1" applyAlignment="1" applyProtection="1">
      <alignment horizontal="left" vertical="top" wrapText="1"/>
      <protection locked="0" hidden="1"/>
    </xf>
    <xf numFmtId="2" fontId="8" fillId="6" borderId="6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7" xfId="0" applyNumberFormat="1" applyFont="1" applyFill="1" applyBorder="1" applyAlignment="1" applyProtection="1">
      <alignment horizontal="center" vertical="center"/>
      <protection hidden="1"/>
    </xf>
    <xf numFmtId="2" fontId="7" fillId="9" borderId="67" xfId="0" applyNumberFormat="1" applyFont="1" applyFill="1" applyBorder="1" applyAlignment="1" applyProtection="1">
      <alignment horizontal="center" vertical="center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39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/>
      <protection locked="0" hidden="1"/>
    </xf>
    <xf numFmtId="2" fontId="8" fillId="6" borderId="1" xfId="2" applyNumberFormat="1" applyFont="1" applyFill="1" applyBorder="1" applyAlignment="1" applyProtection="1">
      <alignment horizontal="center" vertical="center"/>
      <protection locked="0" hidden="1"/>
    </xf>
    <xf numFmtId="2" fontId="4" fillId="6" borderId="7" xfId="0" applyNumberFormat="1" applyFont="1" applyFill="1" applyBorder="1" applyAlignment="1" applyProtection="1">
      <alignment horizontal="justify" vertical="center" wrapText="1"/>
      <protection hidden="1"/>
    </xf>
    <xf numFmtId="2" fontId="4" fillId="6" borderId="8" xfId="0" applyNumberFormat="1" applyFont="1" applyFill="1" applyBorder="1" applyAlignment="1" applyProtection="1">
      <alignment horizontal="justify" vertical="center" wrapText="1"/>
      <protection hidden="1"/>
    </xf>
    <xf numFmtId="2" fontId="8" fillId="6" borderId="61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8" fillId="6" borderId="6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59" xfId="0" applyFont="1" applyFill="1" applyBorder="1" applyAlignment="1" applyProtection="1">
      <alignment horizontal="center"/>
      <protection hidden="1"/>
    </xf>
    <xf numFmtId="0" fontId="9" fillId="6" borderId="72" xfId="0" applyFont="1" applyFill="1" applyBorder="1" applyAlignment="1" applyProtection="1">
      <alignment horizontal="center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7" fillId="6" borderId="59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5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59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2" xfId="0" applyNumberFormat="1" applyFont="1" applyFill="1" applyBorder="1" applyAlignment="1" applyProtection="1">
      <alignment horizontal="center"/>
      <protection hidden="1"/>
    </xf>
    <xf numFmtId="2" fontId="7" fillId="6" borderId="65" xfId="0" applyNumberFormat="1" applyFont="1" applyFill="1" applyBorder="1" applyAlignment="1" applyProtection="1">
      <alignment horizontal="center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0" fontId="46" fillId="8" borderId="14" xfId="0" applyFont="1" applyFill="1" applyBorder="1" applyAlignment="1">
      <alignment horizontal="center" vertical="center" wrapText="1"/>
    </xf>
    <xf numFmtId="0" fontId="46" fillId="8" borderId="16" xfId="0" applyFont="1" applyFill="1" applyBorder="1" applyAlignment="1">
      <alignment horizontal="center" vertical="center" wrapText="1"/>
    </xf>
    <xf numFmtId="2" fontId="48" fillId="8" borderId="14" xfId="0" applyNumberFormat="1" applyFont="1" applyFill="1" applyBorder="1" applyAlignment="1" applyProtection="1">
      <alignment horizontal="center" vertical="center"/>
      <protection hidden="1"/>
    </xf>
    <xf numFmtId="2" fontId="48" fillId="8" borderId="15" xfId="0" applyNumberFormat="1" applyFont="1" applyFill="1" applyBorder="1" applyAlignment="1" applyProtection="1">
      <alignment horizontal="center" vertical="center"/>
      <protection hidden="1"/>
    </xf>
    <xf numFmtId="2" fontId="48" fillId="8" borderId="16" xfId="0" applyNumberFormat="1" applyFont="1" applyFill="1" applyBorder="1" applyAlignment="1" applyProtection="1">
      <alignment horizontal="center" vertical="center"/>
      <protection hidden="1"/>
    </xf>
    <xf numFmtId="0" fontId="46" fillId="8" borderId="14" xfId="0" applyFont="1" applyFill="1" applyBorder="1" applyAlignment="1" applyProtection="1">
      <alignment horizontal="center" vertical="center" wrapText="1"/>
      <protection hidden="1"/>
    </xf>
    <xf numFmtId="0" fontId="46" fillId="8" borderId="15" xfId="0" applyFont="1" applyFill="1" applyBorder="1" applyAlignment="1" applyProtection="1">
      <alignment horizontal="center" vertical="center" wrapText="1"/>
      <protection hidden="1"/>
    </xf>
    <xf numFmtId="0" fontId="46" fillId="8" borderId="16" xfId="0" applyFont="1" applyFill="1" applyBorder="1" applyAlignment="1" applyProtection="1">
      <alignment horizontal="center" vertical="center" wrapText="1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" fontId="7" fillId="0" borderId="23" xfId="0" applyNumberFormat="1" applyFont="1" applyBorder="1" applyAlignment="1" applyProtection="1">
      <alignment horizontal="center"/>
      <protection hidden="1"/>
    </xf>
    <xf numFmtId="2" fontId="7" fillId="0" borderId="24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9" fillId="6" borderId="57" xfId="0" applyNumberFormat="1" applyFont="1" applyFill="1" applyBorder="1" applyAlignment="1" applyProtection="1">
      <alignment horizontal="center" vertical="center"/>
      <protection hidden="1"/>
    </xf>
    <xf numFmtId="2" fontId="9" fillId="6" borderId="50" xfId="0" applyNumberFormat="1" applyFont="1" applyFill="1" applyBorder="1" applyAlignment="1" applyProtection="1">
      <alignment horizontal="center" vertical="center"/>
      <protection hidden="1"/>
    </xf>
    <xf numFmtId="2" fontId="9" fillId="6" borderId="58" xfId="0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39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6" xfId="0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6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DDEBF7"/>
      <color rgb="FF8DB4E2"/>
      <color rgb="FFAEAAAA"/>
      <color rgb="FF1F4E78"/>
      <color rgb="FFF4B084"/>
      <color rgb="FFB6FD03"/>
      <color rgb="FFC6E0B4"/>
      <color rgb="FF000000"/>
      <color rgb="FFBDD7EE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'!$F$102:$F$104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'DATOS &gt;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05312"/>
        <c:axId val="133419392"/>
      </c:scatterChart>
      <c:valAx>
        <c:axId val="13340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19392"/>
        <c:crosses val="autoZero"/>
        <c:crossBetween val="midCat"/>
      </c:valAx>
      <c:valAx>
        <c:axId val="1334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0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'!$F$134:$F$136</c:f>
              <c:numCache>
                <c:formatCode>General</c:formatCode>
                <c:ptCount val="3"/>
                <c:pt idx="0">
                  <c:v>15.5</c:v>
                </c:pt>
                <c:pt idx="1">
                  <c:v>24.6</c:v>
                </c:pt>
                <c:pt idx="2" formatCode="0.0">
                  <c:v>29.2</c:v>
                </c:pt>
              </c:numCache>
            </c:numRef>
          </c:xVal>
          <c:yVal>
            <c:numRef>
              <c:f>'DATOS &gt; '!$H$134:$H$136</c:f>
              <c:numCache>
                <c:formatCode>0.0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352832"/>
        <c:axId val="197354624"/>
      </c:scatterChart>
      <c:valAx>
        <c:axId val="19735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354624"/>
        <c:crosses val="autoZero"/>
        <c:crossBetween val="midCat"/>
      </c:valAx>
      <c:valAx>
        <c:axId val="19735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35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'!$F$137:$F$139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68.5</c:v>
                </c:pt>
              </c:numCache>
            </c:numRef>
          </c:xVal>
          <c:yVal>
            <c:numRef>
              <c:f>'DATOS &gt; '!$H$137:$H$139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01216"/>
        <c:axId val="197407104"/>
      </c:scatterChart>
      <c:valAx>
        <c:axId val="19740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407104"/>
        <c:crosses val="autoZero"/>
        <c:crossBetween val="midCat"/>
      </c:valAx>
      <c:valAx>
        <c:axId val="1974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40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'!$F$140:$F$142</c:f>
              <c:numCache>
                <c:formatCode>General</c:formatCode>
                <c:ptCount val="3"/>
                <c:pt idx="0">
                  <c:v>698.3</c:v>
                </c:pt>
                <c:pt idx="1">
                  <c:v>798.4</c:v>
                </c:pt>
                <c:pt idx="2">
                  <c:v>848.7</c:v>
                </c:pt>
              </c:numCache>
            </c:numRef>
          </c:xVal>
          <c:yVal>
            <c:numRef>
              <c:f>'DATOS &gt; '!$H$140:$H$142</c:f>
              <c:numCache>
                <c:formatCode>0.00</c:formatCode>
                <c:ptCount val="3"/>
                <c:pt idx="0" formatCode="General">
                  <c:v>-0.92</c:v>
                </c:pt>
                <c:pt idx="1">
                  <c:v>-0.82099999999999995</c:v>
                </c:pt>
                <c:pt idx="2" formatCode="General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27424"/>
        <c:axId val="197528960"/>
      </c:scatterChart>
      <c:valAx>
        <c:axId val="19752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528960"/>
        <c:crosses val="autoZero"/>
        <c:crossBetween val="midCat"/>
      </c:valAx>
      <c:valAx>
        <c:axId val="1975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52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'!$F$144:$F$146</c:f>
              <c:numCache>
                <c:formatCode>0.0</c:formatCode>
                <c:ptCount val="3"/>
                <c:pt idx="0" formatCode="General">
                  <c:v>15.4</c:v>
                </c:pt>
                <c:pt idx="1">
                  <c:v>24.7</c:v>
                </c:pt>
                <c:pt idx="2">
                  <c:v>29.4</c:v>
                </c:pt>
              </c:numCache>
            </c:numRef>
          </c:xVal>
          <c:yVal>
            <c:numRef>
              <c:f>'DATOS &gt; '!$H$144:$H$146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75808"/>
        <c:axId val="197577344"/>
      </c:scatterChart>
      <c:valAx>
        <c:axId val="19757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577344"/>
        <c:crosses val="autoZero"/>
        <c:crossBetween val="midCat"/>
      </c:valAx>
      <c:valAx>
        <c:axId val="19757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57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'!$F$147:$F$149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68.3</c:v>
                </c:pt>
              </c:numCache>
            </c:numRef>
          </c:xVal>
          <c:yVal>
            <c:numRef>
              <c:f>'DATOS &gt; '!$H$147:$H$149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24192"/>
        <c:axId val="197625728"/>
      </c:scatterChart>
      <c:valAx>
        <c:axId val="19762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25728"/>
        <c:crosses val="autoZero"/>
        <c:crossBetween val="midCat"/>
      </c:valAx>
      <c:valAx>
        <c:axId val="19762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2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'!$F$150:$F$152</c:f>
              <c:numCache>
                <c:formatCode>General</c:formatCode>
                <c:ptCount val="3"/>
                <c:pt idx="0" formatCode="0.0">
                  <c:v>698.2</c:v>
                </c:pt>
                <c:pt idx="1">
                  <c:v>751.8</c:v>
                </c:pt>
                <c:pt idx="2">
                  <c:v>798.4</c:v>
                </c:pt>
              </c:numCache>
            </c:numRef>
          </c:xVal>
          <c:yVal>
            <c:numRef>
              <c:f>'DATOS &gt; '!$H$150:$H$152</c:f>
              <c:numCache>
                <c:formatCode>0.00</c:formatCode>
                <c:ptCount val="3"/>
                <c:pt idx="0" formatCode="General">
                  <c:v>-0.99</c:v>
                </c:pt>
                <c:pt idx="1">
                  <c:v>-0.88</c:v>
                </c:pt>
                <c:pt idx="2" formatCode="General">
                  <c:v>-0.73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47744"/>
        <c:axId val="197690496"/>
      </c:scatterChart>
      <c:valAx>
        <c:axId val="19764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90496"/>
        <c:crosses val="autoZero"/>
        <c:crossBetween val="midCat"/>
      </c:valAx>
      <c:valAx>
        <c:axId val="1976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4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7363746815E-2"/>
          <c:y val="0.12433233242982443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'RT03-F34 &gt;'!$J$127:$J$131</c:f>
              <c:strCache>
                <c:ptCount val="1"/>
                <c:pt idx="0">
                  <c:v>#N/A #N/A #N/A #N/A 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3.2373725344309501E-3"/>
                  <c:y val="-4.0752992581235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'RT03-F34 &gt;'!$J$127:$J$131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'RT03-F34 &gt;'!$K$127:$K$131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0215552"/>
        <c:axId val="200234112"/>
      </c:scatterChart>
      <c:valAx>
        <c:axId val="200215552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234112"/>
        <c:crosses val="autoZero"/>
        <c:crossBetween val="midCat"/>
        <c:majorUnit val="1000"/>
        <c:minorUnit val="10"/>
      </c:valAx>
      <c:valAx>
        <c:axId val="200234112"/>
        <c:scaling>
          <c:orientation val="minMax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300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215552"/>
        <c:crosses val="autoZero"/>
        <c:crossBetween val="midCat"/>
      </c:valAx>
      <c:spPr>
        <a:solidFill>
          <a:schemeClr val="accent5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'!$F$105:$F$107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&gt; '!$H$105:$H$107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50048"/>
        <c:axId val="156851584"/>
      </c:scatterChart>
      <c:valAx>
        <c:axId val="15685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6851584"/>
        <c:crosses val="autoZero"/>
        <c:crossBetween val="midCat"/>
      </c:valAx>
      <c:valAx>
        <c:axId val="15685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685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'!$F$108:$F$110</c:f>
              <c:numCache>
                <c:formatCode>General</c:formatCode>
                <c:ptCount val="3"/>
                <c:pt idx="0">
                  <c:v>698.2</c:v>
                </c:pt>
                <c:pt idx="1">
                  <c:v>798.4</c:v>
                </c:pt>
                <c:pt idx="2" formatCode="0.0">
                  <c:v>848.7</c:v>
                </c:pt>
              </c:numCache>
            </c:numRef>
          </c:xVal>
          <c:yVal>
            <c:numRef>
              <c:f>'DATOS &gt; '!$H$108:$H$110</c:f>
              <c:numCache>
                <c:formatCode>General</c:formatCode>
                <c:ptCount val="3"/>
                <c:pt idx="0" formatCode="0.000">
                  <c:v>-1.002</c:v>
                </c:pt>
                <c:pt idx="1">
                  <c:v>-0.77</c:v>
                </c:pt>
                <c:pt idx="2">
                  <c:v>-0.78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67136"/>
        <c:axId val="189868672"/>
      </c:scatterChart>
      <c:valAx>
        <c:axId val="1898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868672"/>
        <c:crosses val="autoZero"/>
        <c:crossBetween val="midCat"/>
      </c:valAx>
      <c:valAx>
        <c:axId val="1898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86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'!$F$113:$F$115</c:f>
              <c:numCache>
                <c:formatCode>General</c:formatCode>
                <c:ptCount val="3"/>
                <c:pt idx="0" formatCode="0.0">
                  <c:v>15.5</c:v>
                </c:pt>
                <c:pt idx="1">
                  <c:v>24.6</c:v>
                </c:pt>
                <c:pt idx="2">
                  <c:v>33.9</c:v>
                </c:pt>
              </c:numCache>
            </c:numRef>
          </c:xVal>
          <c:yVal>
            <c:numRef>
              <c:f>'DATOS &gt;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01600"/>
        <c:axId val="197003136"/>
      </c:scatterChart>
      <c:valAx>
        <c:axId val="19700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03136"/>
        <c:crosses val="autoZero"/>
        <c:crossBetween val="midCat"/>
      </c:valAx>
      <c:valAx>
        <c:axId val="1970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0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'!$F$116:$F$118</c:f>
              <c:numCache>
                <c:formatCode>General</c:formatCode>
                <c:ptCount val="3"/>
                <c:pt idx="0">
                  <c:v>32.700000000000003</c:v>
                </c:pt>
                <c:pt idx="1">
                  <c:v>50.7</c:v>
                </c:pt>
                <c:pt idx="2">
                  <c:v>68.099999999999994</c:v>
                </c:pt>
              </c:numCache>
            </c:numRef>
          </c:xVal>
          <c:yVal>
            <c:numRef>
              <c:f>'DATOS &gt; '!$H$116:$H$118</c:f>
              <c:numCache>
                <c:formatCode>#,##0.0</c:formatCode>
                <c:ptCount val="3"/>
                <c:pt idx="0">
                  <c:v>-2.7</c:v>
                </c:pt>
                <c:pt idx="1">
                  <c:v>-0.7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55616"/>
        <c:axId val="197057152"/>
      </c:scatterChart>
      <c:valAx>
        <c:axId val="19705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57152"/>
        <c:crosses val="autoZero"/>
        <c:crossBetween val="midCat"/>
      </c:valAx>
      <c:valAx>
        <c:axId val="1970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5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'!$F$119:$F$121</c:f>
              <c:numCache>
                <c:formatCode>General</c:formatCode>
                <c:ptCount val="3"/>
                <c:pt idx="0" formatCode="0.0">
                  <c:v>397.5</c:v>
                </c:pt>
                <c:pt idx="1">
                  <c:v>798.5</c:v>
                </c:pt>
                <c:pt idx="2">
                  <c:v>1099.5999999999999</c:v>
                </c:pt>
              </c:numCache>
            </c:numRef>
          </c:xVal>
          <c:yVal>
            <c:numRef>
              <c:f>'DATOS &gt; '!$H$119:$H$121</c:f>
              <c:numCache>
                <c:formatCode>#,##0.00</c:formatCode>
                <c:ptCount val="3"/>
                <c:pt idx="0">
                  <c:v>-1.67</c:v>
                </c:pt>
                <c:pt idx="1">
                  <c:v>-0.7</c:v>
                </c:pt>
                <c:pt idx="2">
                  <c:v>-0.28999999999999998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91712"/>
        <c:axId val="197093248"/>
      </c:scatterChart>
      <c:valAx>
        <c:axId val="19709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93248"/>
        <c:crosses val="autoZero"/>
        <c:crossBetween val="midCat"/>
      </c:valAx>
      <c:valAx>
        <c:axId val="1970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9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&gt; '!$H$124:$H$126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 formatCode="General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09472"/>
        <c:axId val="197211264"/>
      </c:scatterChart>
      <c:valAx>
        <c:axId val="19720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211264"/>
        <c:crosses val="autoZero"/>
        <c:crossBetween val="midCat"/>
      </c:valAx>
      <c:valAx>
        <c:axId val="1972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20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'!$F$127:$F$129</c:f>
              <c:numCache>
                <c:formatCode>General</c:formatCode>
                <c:ptCount val="3"/>
                <c:pt idx="0">
                  <c:v>32.299999999999997</c:v>
                </c:pt>
                <c:pt idx="1">
                  <c:v>50.6</c:v>
                </c:pt>
                <c:pt idx="2">
                  <c:v>68.599999999999994</c:v>
                </c:pt>
              </c:numCache>
            </c:numRef>
          </c:xVal>
          <c:yVal>
            <c:numRef>
              <c:f>'DATOS &gt; '!$H$127:$H$129</c:f>
              <c:numCache>
                <c:formatCode>General</c:formatCode>
                <c:ptCount val="3"/>
                <c:pt idx="0">
                  <c:v>-2.2999999999999998</c:v>
                </c:pt>
                <c:pt idx="1">
                  <c:v>-0.6</c:v>
                </c:pt>
                <c:pt idx="2">
                  <c:v>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52224"/>
        <c:axId val="197253760"/>
      </c:scatterChart>
      <c:valAx>
        <c:axId val="1972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253760"/>
        <c:crosses val="autoZero"/>
        <c:crossBetween val="midCat"/>
      </c:valAx>
      <c:valAx>
        <c:axId val="1972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25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&gt;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&gt; '!$F$130:$F$132</c:f>
              <c:numCache>
                <c:formatCode>General</c:formatCode>
                <c:ptCount val="3"/>
                <c:pt idx="0" formatCode="0.0">
                  <c:v>497.8</c:v>
                </c:pt>
                <c:pt idx="1">
                  <c:v>698.2</c:v>
                </c:pt>
                <c:pt idx="2">
                  <c:v>1098.8</c:v>
                </c:pt>
              </c:numCache>
            </c:numRef>
          </c:xVal>
          <c:yVal>
            <c:numRef>
              <c:f>'DATOS &gt; '!$H$130:$H$132</c:f>
              <c:numCache>
                <c:formatCode>0.00</c:formatCode>
                <c:ptCount val="3"/>
                <c:pt idx="0">
                  <c:v>-1.4</c:v>
                </c:pt>
                <c:pt idx="1">
                  <c:v>-0.92</c:v>
                </c:pt>
                <c:pt idx="2">
                  <c:v>-0.68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96512"/>
        <c:axId val="197298048"/>
      </c:scatterChart>
      <c:valAx>
        <c:axId val="1972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298048"/>
        <c:crosses val="autoZero"/>
        <c:crossBetween val="midCat"/>
      </c:valAx>
      <c:valAx>
        <c:axId val="1972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2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6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81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76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p>
                    <m:sSupPr>
                      <m:ctrlP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𝒖</m:t>
                      </m:r>
                    </m:e>
                    <m:sup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𝟐</m:t>
                      </m:r>
                    </m:sup>
                  </m:sSup>
                  <m:d>
                    <m:dPr>
                      <m:ctrlP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s-CO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</m:t>
                      </m:r>
                    </m:e>
                  </m:d>
                  <m:r>
                    <a:rPr lang="es-CO" sz="11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</m:t>
                          </m:r>
                        </m:e>
                        <m:sup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12</m:t>
                      </m:r>
                    </m:den>
                  </m:f>
                  <m:r>
                    <a:rPr lang="es-CO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p>
                    <m:sSup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</m:e>
                    <m:sup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  <m:d>
                    <m:d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</m:d>
                  <m:r>
                    <a:rPr lang="es-CO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 </m:t>
                  </m:r>
                  <m:sSup>
                    <m:sSup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acc>
                        <m:accPr>
                          <m:chr m:val="̂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𝑤</m:t>
                          </m:r>
                        </m:e>
                      </m:acc>
                    </m:e>
                    <m:sup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  <m:d>
                    <m:d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𝛿</m:t>
                      </m:r>
                      <m:sSub>
                        <m:sSubPr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  <m:sub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𝑒𝑐𝑐</m:t>
                          </m:r>
                        </m:sub>
                      </m:sSub>
                    </m:e>
                  </m:d>
                  <m:sSup>
                    <m:sSup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f>
                    <m:f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</m:t>
                          </m:r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</m:e>
                        <m:sup>
                          <m: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12</m:t>
                      </m:r>
                    </m:den>
                  </m:f>
                </m:oMath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𝑑^2/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+𝑠^2 (𝐼)+ 𝑤 ̂^2 (𝛿𝐼_𝑒𝑐𝑐 ) 𝐼^2</a:t>
              </a:r>
              <a:r>
                <a:rPr lang="es-CO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2/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75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es-CO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CO" sz="1100" b="0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CO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12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⌉=𝑑</a:t>
              </a:r>
              <a:r>
                <a:rPr lang="es-CO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81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78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100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79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80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83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96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94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90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109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108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109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=""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=""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109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117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119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118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119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=""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〖𝑑^2/12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109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12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𝑑^2/12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115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=""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117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=""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133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=""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=""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87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=""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89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=""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92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=""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93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=""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94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=""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88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=""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83346</xdr:colOff>
      <xdr:row>124</xdr:row>
      <xdr:rowOff>138673</xdr:rowOff>
    </xdr:from>
    <xdr:to>
      <xdr:col>8</xdr:col>
      <xdr:colOff>963008</xdr:colOff>
      <xdr:row>132</xdr:row>
      <xdr:rowOff>56730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=""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105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14</xdr:col>
      <xdr:colOff>628650</xdr:colOff>
      <xdr:row>89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15840075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572617" y="31553078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CO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12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6" name="CuadroTexto 5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2572617" y="31553078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E202"/>
  <sheetViews>
    <sheetView showGridLines="0" view="pageBreakPreview" zoomScale="80" zoomScaleNormal="20" zoomScaleSheetLayoutView="80" workbookViewId="0">
      <selection activeCell="E9" sqref="E9"/>
    </sheetView>
  </sheetViews>
  <sheetFormatPr baseColWidth="10" defaultColWidth="15.7109375" defaultRowHeight="15" x14ac:dyDescent="0.2"/>
  <cols>
    <col min="1" max="1" width="15.7109375" style="77"/>
    <col min="2" max="8" width="20.7109375" style="77" customWidth="1"/>
    <col min="9" max="9" width="24.28515625" style="77" customWidth="1"/>
    <col min="10" max="10" width="22.140625" style="77" customWidth="1"/>
    <col min="11" max="14" width="20.7109375" style="77" customWidth="1"/>
    <col min="15" max="16" width="20.7109375" style="79" customWidth="1"/>
    <col min="17" max="17" width="24.28515625" style="79" customWidth="1"/>
    <col min="18" max="26" width="20.7109375" style="79" customWidth="1"/>
    <col min="27" max="33" width="20.7109375" style="77" customWidth="1"/>
    <col min="34" max="34" width="19.85546875" style="77" bestFit="1" customWidth="1"/>
    <col min="35" max="38" width="15.85546875" style="77" bestFit="1" customWidth="1"/>
    <col min="39" max="43" width="16" style="77" customWidth="1"/>
    <col min="44" max="47" width="10.7109375" style="77" customWidth="1"/>
    <col min="48" max="48" width="16" style="77" bestFit="1" customWidth="1"/>
    <col min="49" max="49" width="15.85546875" style="77" bestFit="1" customWidth="1"/>
    <col min="50" max="50" width="20.7109375" style="77" bestFit="1" customWidth="1"/>
    <col min="51" max="51" width="15.85546875" style="77" bestFit="1" customWidth="1"/>
    <col min="52" max="52" width="15.7109375" style="77"/>
    <col min="53" max="53" width="20" style="77" customWidth="1"/>
    <col min="54" max="55" width="10.7109375" style="77" customWidth="1"/>
    <col min="56" max="16384" width="15.7109375" style="77"/>
  </cols>
  <sheetData>
    <row r="1" spans="2:83" ht="30" customHeight="1" x14ac:dyDescent="0.2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83" ht="30" customHeight="1" thickBot="1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83" ht="30" customHeight="1" x14ac:dyDescent="0.2">
      <c r="B3" s="78"/>
      <c r="C3" s="736" t="s">
        <v>104</v>
      </c>
      <c r="D3" s="737"/>
      <c r="E3" s="737"/>
      <c r="F3" s="737"/>
      <c r="G3" s="737"/>
      <c r="H3" s="737"/>
      <c r="I3" s="737"/>
      <c r="J3" s="737"/>
      <c r="K3" s="738"/>
      <c r="N3" s="615"/>
    </row>
    <row r="4" spans="2:83" ht="30" customHeight="1" thickBot="1" x14ac:dyDescent="0.25">
      <c r="B4" s="78"/>
      <c r="C4" s="739"/>
      <c r="D4" s="740"/>
      <c r="E4" s="740"/>
      <c r="F4" s="740"/>
      <c r="G4" s="740"/>
      <c r="H4" s="740"/>
      <c r="I4" s="740"/>
      <c r="J4" s="740"/>
      <c r="K4" s="741"/>
      <c r="N4" s="615"/>
    </row>
    <row r="5" spans="2:83" ht="30" customHeight="1" x14ac:dyDescent="0.2">
      <c r="B5" s="78"/>
      <c r="C5" s="787" t="s">
        <v>105</v>
      </c>
      <c r="D5" s="789" t="s">
        <v>7</v>
      </c>
      <c r="E5" s="789" t="s">
        <v>353</v>
      </c>
      <c r="F5" s="789" t="s">
        <v>354</v>
      </c>
      <c r="G5" s="789" t="s">
        <v>360</v>
      </c>
      <c r="H5" s="789" t="s">
        <v>361</v>
      </c>
      <c r="I5" s="789" t="s">
        <v>357</v>
      </c>
      <c r="J5" s="780" t="s">
        <v>342</v>
      </c>
      <c r="K5" s="782" t="s">
        <v>240</v>
      </c>
      <c r="N5" s="79"/>
      <c r="Z5" s="77"/>
    </row>
    <row r="6" spans="2:83" ht="30" customHeight="1" thickBot="1" x14ac:dyDescent="0.25">
      <c r="B6" s="78"/>
      <c r="C6" s="788"/>
      <c r="D6" s="720"/>
      <c r="E6" s="720"/>
      <c r="F6" s="720"/>
      <c r="G6" s="720"/>
      <c r="H6" s="720"/>
      <c r="I6" s="720"/>
      <c r="J6" s="781" t="s">
        <v>239</v>
      </c>
      <c r="K6" s="783"/>
      <c r="N6" s="79"/>
      <c r="Z6" s="77"/>
    </row>
    <row r="7" spans="2:83" ht="30" customHeight="1" x14ac:dyDescent="0.2">
      <c r="B7" s="78"/>
      <c r="C7" s="133"/>
      <c r="D7" s="134"/>
      <c r="E7" s="134"/>
      <c r="F7" s="134"/>
      <c r="G7" s="134"/>
      <c r="H7" s="134"/>
      <c r="I7" s="134"/>
      <c r="J7" s="136"/>
      <c r="K7" s="135"/>
      <c r="N7" s="79"/>
      <c r="Z7" s="77"/>
    </row>
    <row r="8" spans="2:83" s="84" customFormat="1" ht="75" customHeight="1" x14ac:dyDescent="0.2">
      <c r="B8" s="83"/>
      <c r="C8" s="365">
        <v>1</v>
      </c>
      <c r="D8" s="454"/>
      <c r="E8" s="455"/>
      <c r="F8" s="456"/>
      <c r="G8" s="456"/>
      <c r="H8" s="565"/>
      <c r="I8" s="454"/>
      <c r="J8" s="413">
        <v>2</v>
      </c>
      <c r="K8" s="597">
        <v>0.95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CC8" s="77"/>
      <c r="CD8" s="77"/>
    </row>
    <row r="9" spans="2:83" s="84" customFormat="1" ht="30" customHeight="1" thickBot="1" x14ac:dyDescent="0.25">
      <c r="B9" s="83"/>
      <c r="C9" s="85"/>
      <c r="D9" s="86"/>
      <c r="E9" s="86"/>
      <c r="F9" s="86"/>
      <c r="G9" s="86"/>
      <c r="H9" s="86"/>
      <c r="I9" s="86"/>
      <c r="J9" s="86"/>
      <c r="K9" s="86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CC9" s="77"/>
      <c r="CD9" s="77"/>
    </row>
    <row r="10" spans="2:83" s="84" customFormat="1" ht="30" customHeight="1" x14ac:dyDescent="0.2">
      <c r="B10" s="83"/>
      <c r="C10" s="83"/>
      <c r="D10" s="83"/>
      <c r="E10" s="83"/>
      <c r="F10" s="83"/>
      <c r="G10" s="83"/>
      <c r="H10" s="83"/>
      <c r="I10" s="83"/>
      <c r="J10" s="83"/>
      <c r="K10" s="83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CD10" s="77"/>
      <c r="CE10" s="77"/>
    </row>
    <row r="11" spans="2:83" s="84" customFormat="1" ht="30" customHeight="1" thickBot="1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8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CD11" s="77"/>
      <c r="CE11" s="77"/>
    </row>
    <row r="12" spans="2:83" s="84" customFormat="1" ht="30" customHeight="1" x14ac:dyDescent="0.2">
      <c r="B12" s="83"/>
      <c r="C12" s="736" t="s">
        <v>363</v>
      </c>
      <c r="D12" s="737"/>
      <c r="E12" s="737"/>
      <c r="F12" s="737"/>
      <c r="G12" s="737"/>
      <c r="H12" s="737"/>
      <c r="I12" s="737"/>
      <c r="J12" s="737"/>
      <c r="K12" s="737"/>
      <c r="L12" s="738"/>
      <c r="M12" s="78"/>
      <c r="N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CD12" s="77"/>
      <c r="CE12" s="77"/>
    </row>
    <row r="13" spans="2:83" ht="30" customHeight="1" thickBot="1" x14ac:dyDescent="0.25">
      <c r="B13" s="83"/>
      <c r="C13" s="739"/>
      <c r="D13" s="740"/>
      <c r="E13" s="740"/>
      <c r="F13" s="740"/>
      <c r="G13" s="740"/>
      <c r="H13" s="740"/>
      <c r="I13" s="740"/>
      <c r="J13" s="740"/>
      <c r="K13" s="740"/>
      <c r="L13" s="741"/>
      <c r="M13" s="78"/>
    </row>
    <row r="14" spans="2:83" ht="30" customHeight="1" x14ac:dyDescent="0.2">
      <c r="B14" s="83"/>
      <c r="C14" s="790" t="s">
        <v>105</v>
      </c>
      <c r="D14" s="715" t="s">
        <v>3</v>
      </c>
      <c r="E14" s="715" t="s">
        <v>8</v>
      </c>
      <c r="F14" s="715" t="s">
        <v>1</v>
      </c>
      <c r="G14" s="717" t="s">
        <v>255</v>
      </c>
      <c r="H14" s="717" t="s">
        <v>44</v>
      </c>
      <c r="I14" s="715" t="s">
        <v>256</v>
      </c>
      <c r="J14" s="715" t="s">
        <v>362</v>
      </c>
      <c r="K14" s="719" t="s">
        <v>207</v>
      </c>
      <c r="L14" s="721" t="s">
        <v>357</v>
      </c>
      <c r="M14" s="78"/>
    </row>
    <row r="15" spans="2:83" ht="30" customHeight="1" thickBot="1" x14ac:dyDescent="0.25">
      <c r="B15" s="83"/>
      <c r="C15" s="791"/>
      <c r="D15" s="716"/>
      <c r="E15" s="716"/>
      <c r="F15" s="716"/>
      <c r="G15" s="718"/>
      <c r="H15" s="718"/>
      <c r="I15" s="716"/>
      <c r="J15" s="716"/>
      <c r="K15" s="720"/>
      <c r="L15" s="722"/>
      <c r="M15" s="78"/>
    </row>
    <row r="16" spans="2:83" ht="30" customHeight="1" x14ac:dyDescent="0.2">
      <c r="B16" s="83"/>
      <c r="C16" s="80"/>
      <c r="D16" s="81"/>
      <c r="E16" s="81"/>
      <c r="F16" s="81"/>
      <c r="G16" s="81"/>
      <c r="H16" s="81"/>
      <c r="I16" s="81"/>
      <c r="J16" s="81"/>
      <c r="K16" s="81"/>
      <c r="L16" s="82"/>
      <c r="M16" s="78"/>
    </row>
    <row r="17" spans="2:46" ht="30" customHeight="1" x14ac:dyDescent="0.2">
      <c r="B17" s="83"/>
      <c r="C17" s="365">
        <v>1</v>
      </c>
      <c r="D17" s="456"/>
      <c r="E17" s="456"/>
      <c r="F17" s="456"/>
      <c r="G17" s="458"/>
      <c r="H17" s="456"/>
      <c r="I17" s="456"/>
      <c r="J17" s="456"/>
      <c r="K17" s="452">
        <f>F8</f>
        <v>0</v>
      </c>
      <c r="L17" s="453">
        <f>I8</f>
        <v>0</v>
      </c>
      <c r="M17" s="78"/>
    </row>
    <row r="18" spans="2:46" ht="30" customHeight="1" thickBot="1" x14ac:dyDescent="0.25">
      <c r="B18" s="83"/>
      <c r="C18" s="87"/>
      <c r="D18" s="88"/>
      <c r="E18" s="88"/>
      <c r="F18" s="88"/>
      <c r="G18" s="89"/>
      <c r="H18" s="89"/>
      <c r="I18" s="88"/>
      <c r="J18" s="88"/>
      <c r="K18" s="89"/>
      <c r="L18" s="90"/>
      <c r="M18" s="78"/>
    </row>
    <row r="19" spans="2:46" ht="30" customHeight="1" x14ac:dyDescent="0.2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78"/>
    </row>
    <row r="20" spans="2:46" ht="30" customHeight="1" x14ac:dyDescent="0.2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78"/>
      <c r="AS20" s="83"/>
      <c r="AT20" s="78"/>
    </row>
    <row r="21" spans="2:46" ht="30" customHeight="1" x14ac:dyDescent="0.2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78"/>
      <c r="AS21" s="83"/>
      <c r="AT21" s="78"/>
    </row>
    <row r="22" spans="2:46" ht="30" customHeight="1" thickBot="1" x14ac:dyDescent="0.2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78"/>
      <c r="AS22" s="83"/>
      <c r="AT22" s="78"/>
    </row>
    <row r="23" spans="2:46" ht="30" customHeight="1" x14ac:dyDescent="0.2">
      <c r="B23" s="83"/>
      <c r="C23" s="736" t="s">
        <v>189</v>
      </c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8"/>
      <c r="AS23" s="83"/>
      <c r="AT23" s="78"/>
    </row>
    <row r="24" spans="2:46" ht="30" customHeight="1" thickBot="1" x14ac:dyDescent="0.25">
      <c r="B24" s="83"/>
      <c r="C24" s="739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1"/>
      <c r="AS24" s="83"/>
      <c r="AT24" s="78"/>
    </row>
    <row r="25" spans="2:46" ht="30" customHeight="1" x14ac:dyDescent="0.2">
      <c r="B25" s="83"/>
      <c r="C25" s="766" t="s">
        <v>107</v>
      </c>
      <c r="D25" s="768" t="s">
        <v>0</v>
      </c>
      <c r="E25" s="768" t="s">
        <v>3</v>
      </c>
      <c r="F25" s="768" t="s">
        <v>1</v>
      </c>
      <c r="G25" s="768" t="s">
        <v>108</v>
      </c>
      <c r="H25" s="768" t="s">
        <v>106</v>
      </c>
      <c r="I25" s="764" t="s">
        <v>71</v>
      </c>
      <c r="J25" s="764" t="s">
        <v>109</v>
      </c>
      <c r="K25" s="770" t="s">
        <v>190</v>
      </c>
      <c r="L25" s="770" t="s">
        <v>191</v>
      </c>
      <c r="M25" s="768" t="s">
        <v>110</v>
      </c>
      <c r="N25" s="770" t="s">
        <v>285</v>
      </c>
      <c r="O25" s="764" t="s">
        <v>111</v>
      </c>
      <c r="P25" s="764" t="s">
        <v>215</v>
      </c>
      <c r="Q25" s="762" t="s">
        <v>112</v>
      </c>
      <c r="R25" s="734" t="s">
        <v>87</v>
      </c>
      <c r="AS25" s="83"/>
    </row>
    <row r="26" spans="2:46" ht="30" customHeight="1" thickBot="1" x14ac:dyDescent="0.25">
      <c r="B26" s="83"/>
      <c r="C26" s="767"/>
      <c r="D26" s="769"/>
      <c r="E26" s="769"/>
      <c r="F26" s="769"/>
      <c r="G26" s="769"/>
      <c r="H26" s="769"/>
      <c r="I26" s="765"/>
      <c r="J26" s="765"/>
      <c r="K26" s="771"/>
      <c r="L26" s="771"/>
      <c r="M26" s="769"/>
      <c r="N26" s="771"/>
      <c r="O26" s="765"/>
      <c r="P26" s="765"/>
      <c r="Q26" s="763"/>
      <c r="R26" s="735"/>
      <c r="AS26" s="83"/>
    </row>
    <row r="27" spans="2:46" ht="30" customHeight="1" thickBot="1" x14ac:dyDescent="0.25">
      <c r="B27" s="83"/>
      <c r="C27" s="12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30"/>
      <c r="R27" s="131"/>
      <c r="AS27" s="83"/>
    </row>
    <row r="28" spans="2:46" ht="30" customHeight="1" x14ac:dyDescent="0.2">
      <c r="B28" s="784" t="s">
        <v>330</v>
      </c>
      <c r="C28" s="459" t="s">
        <v>307</v>
      </c>
      <c r="D28" s="153" t="s">
        <v>188</v>
      </c>
      <c r="E28" s="153" t="s">
        <v>171</v>
      </c>
      <c r="F28" s="462">
        <v>27696</v>
      </c>
      <c r="G28" s="153" t="s">
        <v>172</v>
      </c>
      <c r="H28" s="462" t="s">
        <v>328</v>
      </c>
      <c r="I28" s="478">
        <v>43726</v>
      </c>
      <c r="J28" s="153">
        <v>5</v>
      </c>
      <c r="K28" s="153">
        <v>1</v>
      </c>
      <c r="L28" s="153">
        <v>1</v>
      </c>
      <c r="M28" s="479">
        <v>7.0000000000000007E-2</v>
      </c>
      <c r="N28" s="154">
        <f>J28+(M28)/1000</f>
        <v>5.00007</v>
      </c>
      <c r="O28" s="155">
        <v>5.2999999999999999E-2</v>
      </c>
      <c r="P28" s="463">
        <f>(0.34848*((752.6+754.7)/2)-0.009024*((44.6+52.7)/2)*EXP(0.0612*((20.5+21)/2)))/(273.15+((20.5+21)/2))</f>
        <v>0.88829136227968475</v>
      </c>
      <c r="Q28" s="153" t="s">
        <v>193</v>
      </c>
      <c r="R28" s="157" t="s">
        <v>246</v>
      </c>
      <c r="AS28" s="83"/>
    </row>
    <row r="29" spans="2:46" ht="30" customHeight="1" x14ac:dyDescent="0.2">
      <c r="B29" s="785"/>
      <c r="C29" s="460" t="s">
        <v>308</v>
      </c>
      <c r="D29" s="146" t="s">
        <v>188</v>
      </c>
      <c r="E29" s="146" t="s">
        <v>171</v>
      </c>
      <c r="F29" s="472">
        <v>27696</v>
      </c>
      <c r="G29" s="146" t="s">
        <v>172</v>
      </c>
      <c r="H29" s="472" t="s">
        <v>328</v>
      </c>
      <c r="I29" s="473">
        <v>43726</v>
      </c>
      <c r="J29" s="146">
        <v>200</v>
      </c>
      <c r="K29" s="146">
        <v>2</v>
      </c>
      <c r="L29" s="146">
        <v>2</v>
      </c>
      <c r="M29" s="472">
        <v>0.1</v>
      </c>
      <c r="N29" s="159">
        <f>J29+(M29)/1000</f>
        <v>200.0001</v>
      </c>
      <c r="O29" s="148">
        <v>0.33</v>
      </c>
      <c r="P29" s="464">
        <f>(0.34848*((752.6+754.7)/2)-0.009024*((44.6+52.7)/2)*EXP(0.0612*((20.5+21)/2)))/(273.15+((20.5+21)/2))</f>
        <v>0.88829136227968475</v>
      </c>
      <c r="Q29" s="146" t="s">
        <v>193</v>
      </c>
      <c r="R29" s="160" t="s">
        <v>246</v>
      </c>
      <c r="AS29" s="83"/>
    </row>
    <row r="30" spans="2:46" ht="30" customHeight="1" x14ac:dyDescent="0.2">
      <c r="B30" s="785"/>
      <c r="C30" s="460" t="s">
        <v>309</v>
      </c>
      <c r="D30" s="146" t="s">
        <v>188</v>
      </c>
      <c r="E30" s="146" t="s">
        <v>171</v>
      </c>
      <c r="F30" s="472">
        <v>27696</v>
      </c>
      <c r="G30" s="146" t="s">
        <v>172</v>
      </c>
      <c r="H30" s="472" t="s">
        <v>328</v>
      </c>
      <c r="I30" s="473">
        <v>43726</v>
      </c>
      <c r="J30" s="146">
        <v>1000</v>
      </c>
      <c r="K30" s="146">
        <v>5</v>
      </c>
      <c r="L30" s="146">
        <v>5</v>
      </c>
      <c r="M30" s="472">
        <v>-0.6</v>
      </c>
      <c r="N30" s="378">
        <f>J30+(M30)/1000</f>
        <v>999.99940000000004</v>
      </c>
      <c r="O30" s="148">
        <v>1.6</v>
      </c>
      <c r="P30" s="464">
        <f>(0.34848*((752.6+754.7)/2)-0.009024*((44.6+52.7)/2)*EXP(0.0612*((20.5+21)/2)))/(273.15+((20.5+21)/2))</f>
        <v>0.88829136227968475</v>
      </c>
      <c r="Q30" s="146" t="s">
        <v>193</v>
      </c>
      <c r="R30" s="160" t="s">
        <v>246</v>
      </c>
      <c r="AS30" s="83"/>
    </row>
    <row r="31" spans="2:46" ht="30" customHeight="1" x14ac:dyDescent="0.2">
      <c r="B31" s="785"/>
      <c r="C31" s="460" t="s">
        <v>310</v>
      </c>
      <c r="D31" s="146" t="s">
        <v>188</v>
      </c>
      <c r="E31" s="146" t="s">
        <v>171</v>
      </c>
      <c r="F31" s="472">
        <v>27696</v>
      </c>
      <c r="G31" s="146" t="s">
        <v>172</v>
      </c>
      <c r="H31" s="472" t="s">
        <v>328</v>
      </c>
      <c r="I31" s="473">
        <v>43726</v>
      </c>
      <c r="J31" s="146">
        <v>2000</v>
      </c>
      <c r="K31" s="146">
        <v>10</v>
      </c>
      <c r="L31" s="146">
        <v>10</v>
      </c>
      <c r="M31" s="472">
        <v>3.5</v>
      </c>
      <c r="N31" s="378">
        <f>J31+(M31)/1000</f>
        <v>2000.0035</v>
      </c>
      <c r="O31" s="148">
        <v>3</v>
      </c>
      <c r="P31" s="464">
        <f>(0.34848*((752.6+754.7)/2)-0.009024*((44.6+52.7)/2)*EXP(0.0612*((20.5+21)/2)))/(273.15+((20.5+21)/2))</f>
        <v>0.88829136227968475</v>
      </c>
      <c r="Q31" s="146" t="s">
        <v>193</v>
      </c>
      <c r="R31" s="160" t="s">
        <v>246</v>
      </c>
      <c r="AS31" s="83"/>
    </row>
    <row r="32" spans="2:46" ht="30" customHeight="1" thickBot="1" x14ac:dyDescent="0.25">
      <c r="B32" s="786"/>
      <c r="C32" s="460" t="s">
        <v>311</v>
      </c>
      <c r="D32" s="146" t="s">
        <v>188</v>
      </c>
      <c r="E32" s="146" t="s">
        <v>171</v>
      </c>
      <c r="F32" s="472">
        <v>27696</v>
      </c>
      <c r="G32" s="146" t="s">
        <v>172</v>
      </c>
      <c r="H32" s="472" t="s">
        <v>328</v>
      </c>
      <c r="I32" s="473">
        <v>43726</v>
      </c>
      <c r="J32" s="146">
        <v>5000</v>
      </c>
      <c r="K32" s="146">
        <v>20</v>
      </c>
      <c r="L32" s="146">
        <v>20</v>
      </c>
      <c r="M32" s="472">
        <v>3.6</v>
      </c>
      <c r="N32" s="378">
        <f>J32+(M32)/1000</f>
        <v>5000.0036</v>
      </c>
      <c r="O32" s="148">
        <v>8</v>
      </c>
      <c r="P32" s="464">
        <f>(0.34848*((752.6+754.7)/2)-0.009024*((44.6+52.7)/2)*EXP(0.0612*((20.5+21)/2)))/(273.15+((20.5+21)/2))</f>
        <v>0.88829136227968475</v>
      </c>
      <c r="Q32" s="146" t="s">
        <v>193</v>
      </c>
      <c r="R32" s="160" t="s">
        <v>246</v>
      </c>
      <c r="AS32" s="83"/>
    </row>
    <row r="33" spans="2:45" ht="30" customHeight="1" x14ac:dyDescent="0.2">
      <c r="B33" s="92"/>
      <c r="C33" s="158"/>
      <c r="D33" s="146"/>
      <c r="E33" s="146"/>
      <c r="F33" s="146"/>
      <c r="G33" s="146"/>
      <c r="H33" s="146"/>
      <c r="I33" s="474"/>
      <c r="J33" s="146"/>
      <c r="K33" s="146">
        <v>50</v>
      </c>
      <c r="L33" s="146">
        <v>50</v>
      </c>
      <c r="M33" s="146"/>
      <c r="N33" s="147"/>
      <c r="O33" s="146"/>
      <c r="P33" s="146"/>
      <c r="Q33" s="146"/>
      <c r="R33" s="160"/>
      <c r="AS33" s="83"/>
    </row>
    <row r="34" spans="2:45" ht="30" customHeight="1" x14ac:dyDescent="0.2">
      <c r="B34" s="92"/>
      <c r="C34" s="158"/>
      <c r="D34" s="146"/>
      <c r="E34" s="146"/>
      <c r="F34" s="146"/>
      <c r="G34" s="146"/>
      <c r="H34" s="146"/>
      <c r="I34" s="474"/>
      <c r="J34" s="146"/>
      <c r="K34" s="146">
        <v>100</v>
      </c>
      <c r="L34" s="146">
        <v>100</v>
      </c>
      <c r="M34" s="146"/>
      <c r="N34" s="147"/>
      <c r="O34" s="146"/>
      <c r="P34" s="146"/>
      <c r="Q34" s="146"/>
      <c r="R34" s="160"/>
      <c r="AS34" s="83"/>
    </row>
    <row r="35" spans="2:45" ht="30" customHeight="1" x14ac:dyDescent="0.2">
      <c r="B35" s="92"/>
      <c r="C35" s="158"/>
      <c r="D35" s="146"/>
      <c r="E35" s="146"/>
      <c r="F35" s="146"/>
      <c r="G35" s="146"/>
      <c r="H35" s="146"/>
      <c r="I35" s="474"/>
      <c r="J35" s="146"/>
      <c r="K35" s="146">
        <v>200</v>
      </c>
      <c r="L35" s="146">
        <v>200</v>
      </c>
      <c r="M35" s="146"/>
      <c r="N35" s="147"/>
      <c r="O35" s="146"/>
      <c r="P35" s="146"/>
      <c r="Q35" s="146"/>
      <c r="R35" s="160"/>
      <c r="AS35" s="83"/>
    </row>
    <row r="36" spans="2:45" ht="30" customHeight="1" thickBot="1" x14ac:dyDescent="0.25">
      <c r="B36" s="92"/>
      <c r="C36" s="161"/>
      <c r="D36" s="150"/>
      <c r="E36" s="150"/>
      <c r="F36" s="150"/>
      <c r="G36" s="150"/>
      <c r="H36" s="150"/>
      <c r="I36" s="480"/>
      <c r="J36" s="150"/>
      <c r="K36" s="150">
        <v>500</v>
      </c>
      <c r="L36" s="150">
        <v>500</v>
      </c>
      <c r="M36" s="150"/>
      <c r="N36" s="151"/>
      <c r="O36" s="150"/>
      <c r="P36" s="150"/>
      <c r="Q36" s="150"/>
      <c r="R36" s="163"/>
      <c r="AS36" s="83"/>
    </row>
    <row r="37" spans="2:45" ht="30" customHeight="1" thickBot="1" x14ac:dyDescent="0.25">
      <c r="B37" s="83"/>
      <c r="C37" s="498"/>
      <c r="D37" s="481"/>
      <c r="E37" s="481"/>
      <c r="F37" s="481"/>
      <c r="G37" s="481"/>
      <c r="H37" s="481"/>
      <c r="I37" s="481"/>
      <c r="J37" s="481"/>
      <c r="K37" s="482">
        <v>1000</v>
      </c>
      <c r="L37" s="483">
        <v>1000</v>
      </c>
      <c r="M37" s="481"/>
      <c r="N37" s="481"/>
      <c r="O37" s="481"/>
      <c r="P37" s="484"/>
      <c r="Q37" s="481"/>
      <c r="R37" s="499"/>
      <c r="AS37" s="83"/>
    </row>
    <row r="38" spans="2:45" ht="30" customHeight="1" x14ac:dyDescent="0.2">
      <c r="B38" s="761"/>
      <c r="C38" s="152" t="s">
        <v>113</v>
      </c>
      <c r="D38" s="153" t="s">
        <v>114</v>
      </c>
      <c r="E38" s="153" t="s">
        <v>102</v>
      </c>
      <c r="F38" s="153">
        <v>27129360</v>
      </c>
      <c r="G38" s="153" t="s">
        <v>115</v>
      </c>
      <c r="H38" s="153" t="s">
        <v>247</v>
      </c>
      <c r="I38" s="485">
        <v>43228</v>
      </c>
      <c r="J38" s="153">
        <v>1</v>
      </c>
      <c r="K38" s="486">
        <v>2000</v>
      </c>
      <c r="L38" s="153">
        <v>2000</v>
      </c>
      <c r="M38" s="153">
        <v>8.9999999999999993E-3</v>
      </c>
      <c r="N38" s="154">
        <f>J38+(M38)/1000</f>
        <v>1.0000089999999999</v>
      </c>
      <c r="O38" s="164">
        <v>0.01</v>
      </c>
      <c r="P38" s="156">
        <f>(0.34848*((751.2+755.4)/2)-0.009024*((48.4+57.9)/2)*EXP(0.0612*((19.5+20.7)/2)))/(273.15+((19.5+20.7)/2))</f>
        <v>0.88957844095478944</v>
      </c>
      <c r="Q38" s="153" t="s">
        <v>116</v>
      </c>
      <c r="R38" s="157" t="s">
        <v>197</v>
      </c>
      <c r="AS38" s="83"/>
    </row>
    <row r="39" spans="2:45" ht="30" customHeight="1" x14ac:dyDescent="0.2">
      <c r="B39" s="759"/>
      <c r="C39" s="158" t="s">
        <v>117</v>
      </c>
      <c r="D39" s="146" t="s">
        <v>114</v>
      </c>
      <c r="E39" s="146" t="s">
        <v>102</v>
      </c>
      <c r="F39" s="146">
        <v>27129360</v>
      </c>
      <c r="G39" s="146" t="s">
        <v>118</v>
      </c>
      <c r="H39" s="146" t="s">
        <v>247</v>
      </c>
      <c r="I39" s="474">
        <v>43228</v>
      </c>
      <c r="J39" s="146">
        <v>2</v>
      </c>
      <c r="K39" s="475">
        <v>4000</v>
      </c>
      <c r="L39" s="146">
        <v>5000</v>
      </c>
      <c r="M39" s="166">
        <v>0.01</v>
      </c>
      <c r="N39" s="165">
        <f t="shared" ref="N39:N88" si="0">J39+(M39)/1000</f>
        <v>2.0000100000000001</v>
      </c>
      <c r="O39" s="146">
        <v>1.2E-2</v>
      </c>
      <c r="P39" s="147">
        <f>(0.34848*((751.2+755.4)/2)-0.009024*((48.4+57.9)/2)*EXP(0.0612*((19.5+20.7)/2)))/(273.15+((19.5+20.7)/2))</f>
        <v>0.88957844095478944</v>
      </c>
      <c r="Q39" s="146" t="str">
        <f t="shared" ref="Q39:Q54" si="1">Q38</f>
        <v>M-001</v>
      </c>
      <c r="R39" s="160" t="s">
        <v>197</v>
      </c>
      <c r="AS39" s="83"/>
    </row>
    <row r="40" spans="2:45" ht="30" customHeight="1" x14ac:dyDescent="0.2">
      <c r="B40" s="759"/>
      <c r="C40" s="158" t="s">
        <v>270</v>
      </c>
      <c r="D40" s="146" t="s">
        <v>114</v>
      </c>
      <c r="E40" s="146" t="s">
        <v>102</v>
      </c>
      <c r="F40" s="146">
        <v>27129360</v>
      </c>
      <c r="G40" s="146" t="s">
        <v>119</v>
      </c>
      <c r="H40" s="146" t="s">
        <v>247</v>
      </c>
      <c r="I40" s="474">
        <v>43228</v>
      </c>
      <c r="J40" s="146">
        <v>2</v>
      </c>
      <c r="K40" s="475">
        <v>5000</v>
      </c>
      <c r="L40" s="146">
        <v>8000</v>
      </c>
      <c r="M40" s="146">
        <v>1.7000000000000001E-2</v>
      </c>
      <c r="N40" s="165">
        <f t="shared" si="0"/>
        <v>2.0000170000000002</v>
      </c>
      <c r="O40" s="146">
        <v>1.2E-2</v>
      </c>
      <c r="P40" s="147">
        <f>(0.34848*((751.2+755.4)/2)-0.009024*((48.4+57.9)/2)*EXP(0.0612*((19.5+20.7)/2)))/(273.15+((19.5+20.7)/2))</f>
        <v>0.88957844095478944</v>
      </c>
      <c r="Q40" s="146" t="str">
        <f t="shared" si="1"/>
        <v>M-001</v>
      </c>
      <c r="R40" s="160" t="s">
        <v>197</v>
      </c>
      <c r="AS40" s="83"/>
    </row>
    <row r="41" spans="2:45" ht="30" customHeight="1" x14ac:dyDescent="0.2">
      <c r="B41" s="759"/>
      <c r="C41" s="158" t="s">
        <v>120</v>
      </c>
      <c r="D41" s="146" t="s">
        <v>114</v>
      </c>
      <c r="E41" s="146" t="s">
        <v>102</v>
      </c>
      <c r="F41" s="146">
        <v>27129360</v>
      </c>
      <c r="G41" s="146" t="s">
        <v>121</v>
      </c>
      <c r="H41" s="146" t="s">
        <v>247</v>
      </c>
      <c r="I41" s="474">
        <v>43228</v>
      </c>
      <c r="J41" s="146">
        <v>5</v>
      </c>
      <c r="K41" s="475">
        <v>10000</v>
      </c>
      <c r="L41" s="146">
        <v>8200</v>
      </c>
      <c r="M41" s="166">
        <v>2E-3</v>
      </c>
      <c r="N41" s="165">
        <f t="shared" si="0"/>
        <v>5.0000020000000003</v>
      </c>
      <c r="O41" s="146">
        <v>1.6E-2</v>
      </c>
      <c r="P41" s="147">
        <f>(0.34848*((751.2+755.4)/2)-0.009024*((48.4+57.9)/2)*EXP(0.0612*((19.5+20.7)/2)))/(273.15+((19.5+20.7)/2))</f>
        <v>0.88957844095478944</v>
      </c>
      <c r="Q41" s="146" t="str">
        <f t="shared" si="1"/>
        <v>M-001</v>
      </c>
      <c r="R41" s="160" t="s">
        <v>197</v>
      </c>
      <c r="AS41" s="83"/>
    </row>
    <row r="42" spans="2:45" ht="30" customHeight="1" x14ac:dyDescent="0.2">
      <c r="B42" s="759"/>
      <c r="C42" s="158" t="s">
        <v>122</v>
      </c>
      <c r="D42" s="146" t="s">
        <v>114</v>
      </c>
      <c r="E42" s="146" t="s">
        <v>102</v>
      </c>
      <c r="F42" s="146">
        <v>27129360</v>
      </c>
      <c r="G42" s="146" t="s">
        <v>123</v>
      </c>
      <c r="H42" s="146" t="s">
        <v>247</v>
      </c>
      <c r="I42" s="474">
        <v>43228</v>
      </c>
      <c r="J42" s="146">
        <v>10</v>
      </c>
      <c r="K42" s="475">
        <v>15000</v>
      </c>
      <c r="L42" s="146">
        <v>10000</v>
      </c>
      <c r="M42" s="146">
        <v>1.9E-2</v>
      </c>
      <c r="N42" s="165">
        <f t="shared" si="0"/>
        <v>10.000019</v>
      </c>
      <c r="O42" s="166">
        <v>0.02</v>
      </c>
      <c r="P42" s="147">
        <f t="shared" ref="P42:P54" si="2">(0.34848*((751.2+755.4)/2)-0.009024*((48.4+57.9)/2)*EXP(0.0612*((19.5+20.7)/2)))/(273.15+((19.5+20.7)/2))</f>
        <v>0.88957844095478944</v>
      </c>
      <c r="Q42" s="146" t="str">
        <f t="shared" si="1"/>
        <v>M-001</v>
      </c>
      <c r="R42" s="160" t="s">
        <v>197</v>
      </c>
      <c r="AS42" s="83"/>
    </row>
    <row r="43" spans="2:45" ht="30" customHeight="1" x14ac:dyDescent="0.2">
      <c r="B43" s="759"/>
      <c r="C43" s="158" t="s">
        <v>124</v>
      </c>
      <c r="D43" s="146" t="s">
        <v>114</v>
      </c>
      <c r="E43" s="146" t="s">
        <v>102</v>
      </c>
      <c r="F43" s="146">
        <v>27129360</v>
      </c>
      <c r="G43" s="146" t="s">
        <v>125</v>
      </c>
      <c r="H43" s="146" t="s">
        <v>247</v>
      </c>
      <c r="I43" s="474">
        <v>43228</v>
      </c>
      <c r="J43" s="146">
        <v>20</v>
      </c>
      <c r="K43" s="475">
        <v>20000</v>
      </c>
      <c r="L43" s="146">
        <v>15000</v>
      </c>
      <c r="M43" s="146">
        <v>2.5999999999999999E-2</v>
      </c>
      <c r="N43" s="165">
        <f t="shared" si="0"/>
        <v>20.000025999999998</v>
      </c>
      <c r="O43" s="146">
        <v>2.5000000000000001E-2</v>
      </c>
      <c r="P43" s="147">
        <f t="shared" si="2"/>
        <v>0.88957844095478944</v>
      </c>
      <c r="Q43" s="146" t="str">
        <f t="shared" si="1"/>
        <v>M-001</v>
      </c>
      <c r="R43" s="160" t="s">
        <v>197</v>
      </c>
      <c r="AS43" s="83"/>
    </row>
    <row r="44" spans="2:45" ht="30" customHeight="1" x14ac:dyDescent="0.2">
      <c r="B44" s="759"/>
      <c r="C44" s="158" t="s">
        <v>271</v>
      </c>
      <c r="D44" s="146" t="s">
        <v>114</v>
      </c>
      <c r="E44" s="146" t="s">
        <v>102</v>
      </c>
      <c r="F44" s="146">
        <v>27129360</v>
      </c>
      <c r="G44" s="146" t="s">
        <v>126</v>
      </c>
      <c r="H44" s="146" t="s">
        <v>247</v>
      </c>
      <c r="I44" s="474">
        <v>43228</v>
      </c>
      <c r="J44" s="146">
        <v>20</v>
      </c>
      <c r="K44" s="475">
        <v>25000</v>
      </c>
      <c r="L44" s="146">
        <v>20000</v>
      </c>
      <c r="M44" s="146">
        <v>7.0000000000000001E-3</v>
      </c>
      <c r="N44" s="165">
        <f t="shared" si="0"/>
        <v>20.000007</v>
      </c>
      <c r="O44" s="146">
        <v>2.5000000000000001E-2</v>
      </c>
      <c r="P44" s="147">
        <f t="shared" si="2"/>
        <v>0.88957844095478944</v>
      </c>
      <c r="Q44" s="146" t="str">
        <f t="shared" si="1"/>
        <v>M-001</v>
      </c>
      <c r="R44" s="160" t="s">
        <v>197</v>
      </c>
      <c r="AS44" s="83"/>
    </row>
    <row r="45" spans="2:45" ht="30" customHeight="1" x14ac:dyDescent="0.2">
      <c r="B45" s="759"/>
      <c r="C45" s="158" t="s">
        <v>127</v>
      </c>
      <c r="D45" s="146" t="s">
        <v>114</v>
      </c>
      <c r="E45" s="146" t="s">
        <v>102</v>
      </c>
      <c r="F45" s="146">
        <v>27129360</v>
      </c>
      <c r="G45" s="146" t="s">
        <v>128</v>
      </c>
      <c r="H45" s="146" t="s">
        <v>247</v>
      </c>
      <c r="I45" s="474">
        <v>43228</v>
      </c>
      <c r="J45" s="146">
        <v>50</v>
      </c>
      <c r="K45" s="475">
        <v>30000</v>
      </c>
      <c r="L45" s="146">
        <v>25000</v>
      </c>
      <c r="M45" s="146">
        <v>0.03</v>
      </c>
      <c r="N45" s="159">
        <f t="shared" si="0"/>
        <v>50.000030000000002</v>
      </c>
      <c r="O45" s="146">
        <v>0.03</v>
      </c>
      <c r="P45" s="147">
        <f t="shared" si="2"/>
        <v>0.88957844095478944</v>
      </c>
      <c r="Q45" s="146" t="str">
        <f t="shared" si="1"/>
        <v>M-001</v>
      </c>
      <c r="R45" s="160" t="s">
        <v>197</v>
      </c>
      <c r="AS45" s="83"/>
    </row>
    <row r="46" spans="2:45" ht="30" customHeight="1" x14ac:dyDescent="0.2">
      <c r="B46" s="759"/>
      <c r="C46" s="158" t="s">
        <v>129</v>
      </c>
      <c r="D46" s="146" t="s">
        <v>114</v>
      </c>
      <c r="E46" s="146" t="s">
        <v>102</v>
      </c>
      <c r="F46" s="146">
        <v>27129360</v>
      </c>
      <c r="G46" s="146" t="s">
        <v>130</v>
      </c>
      <c r="H46" s="146" t="s">
        <v>247</v>
      </c>
      <c r="I46" s="474">
        <v>43228</v>
      </c>
      <c r="J46" s="146">
        <v>100</v>
      </c>
      <c r="K46" s="475">
        <v>35000</v>
      </c>
      <c r="L46" s="476">
        <v>35000</v>
      </c>
      <c r="M46" s="146">
        <v>0.06</v>
      </c>
      <c r="N46" s="159">
        <f t="shared" si="0"/>
        <v>100.00006</v>
      </c>
      <c r="O46" s="146">
        <v>0.05</v>
      </c>
      <c r="P46" s="147">
        <f t="shared" si="2"/>
        <v>0.88957844095478944</v>
      </c>
      <c r="Q46" s="146" t="str">
        <f t="shared" si="1"/>
        <v>M-001</v>
      </c>
      <c r="R46" s="160" t="s">
        <v>197</v>
      </c>
      <c r="AS46" s="83"/>
    </row>
    <row r="47" spans="2:45" ht="30" customHeight="1" x14ac:dyDescent="0.2">
      <c r="B47" s="759"/>
      <c r="C47" s="158" t="s">
        <v>131</v>
      </c>
      <c r="D47" s="146" t="s">
        <v>114</v>
      </c>
      <c r="E47" s="146" t="s">
        <v>102</v>
      </c>
      <c r="F47" s="146">
        <v>27129360</v>
      </c>
      <c r="G47" s="146" t="s">
        <v>132</v>
      </c>
      <c r="H47" s="146" t="s">
        <v>247</v>
      </c>
      <c r="I47" s="474">
        <v>43228</v>
      </c>
      <c r="J47" s="146">
        <v>200</v>
      </c>
      <c r="K47" s="475">
        <v>40000</v>
      </c>
      <c r="L47" s="476">
        <v>40000</v>
      </c>
      <c r="M47" s="146">
        <v>-7.0000000000000007E-2</v>
      </c>
      <c r="N47" s="159">
        <f t="shared" si="0"/>
        <v>199.99993000000001</v>
      </c>
      <c r="O47" s="149">
        <v>0.1</v>
      </c>
      <c r="P47" s="147">
        <f t="shared" si="2"/>
        <v>0.88957844095478944</v>
      </c>
      <c r="Q47" s="146" t="str">
        <f t="shared" si="1"/>
        <v>M-001</v>
      </c>
      <c r="R47" s="160" t="s">
        <v>197</v>
      </c>
      <c r="AS47" s="83"/>
    </row>
    <row r="48" spans="2:45" ht="30" customHeight="1" x14ac:dyDescent="0.2">
      <c r="B48" s="759"/>
      <c r="C48" s="158" t="s">
        <v>272</v>
      </c>
      <c r="D48" s="146" t="s">
        <v>114</v>
      </c>
      <c r="E48" s="146" t="s">
        <v>102</v>
      </c>
      <c r="F48" s="146">
        <v>27129360</v>
      </c>
      <c r="G48" s="146" t="s">
        <v>133</v>
      </c>
      <c r="H48" s="146" t="s">
        <v>247</v>
      </c>
      <c r="I48" s="474">
        <v>43228</v>
      </c>
      <c r="J48" s="146">
        <v>200</v>
      </c>
      <c r="K48" s="475"/>
      <c r="L48" s="476">
        <v>45000</v>
      </c>
      <c r="M48" s="146">
        <v>0.15</v>
      </c>
      <c r="N48" s="159">
        <f t="shared" si="0"/>
        <v>200.00014999999999</v>
      </c>
      <c r="O48" s="149">
        <v>0.1</v>
      </c>
      <c r="P48" s="147">
        <f t="shared" si="2"/>
        <v>0.88957844095478944</v>
      </c>
      <c r="Q48" s="146" t="str">
        <f t="shared" si="1"/>
        <v>M-001</v>
      </c>
      <c r="R48" s="160" t="s">
        <v>197</v>
      </c>
      <c r="AS48" s="83"/>
    </row>
    <row r="49" spans="2:48" ht="30" customHeight="1" x14ac:dyDescent="0.2">
      <c r="B49" s="759"/>
      <c r="C49" s="158" t="s">
        <v>134</v>
      </c>
      <c r="D49" s="146" t="s">
        <v>114</v>
      </c>
      <c r="E49" s="146" t="s">
        <v>102</v>
      </c>
      <c r="F49" s="146">
        <v>27129360</v>
      </c>
      <c r="G49" s="146" t="s">
        <v>135</v>
      </c>
      <c r="H49" s="146" t="s">
        <v>247</v>
      </c>
      <c r="I49" s="474">
        <v>43228</v>
      </c>
      <c r="J49" s="146">
        <v>500</v>
      </c>
      <c r="K49" s="475"/>
      <c r="L49" s="476">
        <v>50000</v>
      </c>
      <c r="M49" s="146">
        <v>0.33</v>
      </c>
      <c r="N49" s="159">
        <f t="shared" si="0"/>
        <v>500.00033000000002</v>
      </c>
      <c r="O49" s="146">
        <v>0.25</v>
      </c>
      <c r="P49" s="147">
        <f t="shared" si="2"/>
        <v>0.88957844095478944</v>
      </c>
      <c r="Q49" s="146" t="str">
        <f t="shared" si="1"/>
        <v>M-001</v>
      </c>
      <c r="R49" s="160" t="s">
        <v>197</v>
      </c>
      <c r="AS49" s="83"/>
    </row>
    <row r="50" spans="2:48" ht="30" customHeight="1" x14ac:dyDescent="0.2">
      <c r="B50" s="759"/>
      <c r="C50" s="158" t="s">
        <v>136</v>
      </c>
      <c r="D50" s="146" t="s">
        <v>114</v>
      </c>
      <c r="E50" s="146" t="s">
        <v>102</v>
      </c>
      <c r="F50" s="146">
        <v>27129360</v>
      </c>
      <c r="G50" s="146" t="s">
        <v>137</v>
      </c>
      <c r="H50" s="146" t="s">
        <v>247</v>
      </c>
      <c r="I50" s="474">
        <v>43228</v>
      </c>
      <c r="J50" s="475">
        <v>1000</v>
      </c>
      <c r="K50" s="477"/>
      <c r="L50" s="476">
        <v>55000</v>
      </c>
      <c r="M50" s="146">
        <v>0.7</v>
      </c>
      <c r="N50" s="147">
        <f t="shared" si="0"/>
        <v>1000.0007000000001</v>
      </c>
      <c r="O50" s="146">
        <v>0.5</v>
      </c>
      <c r="P50" s="147">
        <f t="shared" si="2"/>
        <v>0.88957844095478944</v>
      </c>
      <c r="Q50" s="146" t="str">
        <f t="shared" si="1"/>
        <v>M-001</v>
      </c>
      <c r="R50" s="160" t="s">
        <v>197</v>
      </c>
      <c r="AS50" s="83"/>
    </row>
    <row r="51" spans="2:48" ht="30" customHeight="1" x14ac:dyDescent="0.2">
      <c r="B51" s="759"/>
      <c r="C51" s="158" t="s">
        <v>138</v>
      </c>
      <c r="D51" s="146" t="s">
        <v>114</v>
      </c>
      <c r="E51" s="146" t="s">
        <v>102</v>
      </c>
      <c r="F51" s="146">
        <v>27129360</v>
      </c>
      <c r="G51" s="146" t="s">
        <v>139</v>
      </c>
      <c r="H51" s="146" t="s">
        <v>247</v>
      </c>
      <c r="I51" s="474">
        <v>43228</v>
      </c>
      <c r="J51" s="475">
        <v>2000</v>
      </c>
      <c r="K51" s="477"/>
      <c r="L51" s="476"/>
      <c r="M51" s="146">
        <v>1.1000000000000001</v>
      </c>
      <c r="N51" s="147">
        <f t="shared" si="0"/>
        <v>2000.0011</v>
      </c>
      <c r="O51" s="148">
        <v>1</v>
      </c>
      <c r="P51" s="147">
        <f t="shared" si="2"/>
        <v>0.88957844095478944</v>
      </c>
      <c r="Q51" s="146" t="str">
        <f t="shared" si="1"/>
        <v>M-001</v>
      </c>
      <c r="R51" s="160" t="s">
        <v>197</v>
      </c>
      <c r="AS51" s="83"/>
    </row>
    <row r="52" spans="2:48" ht="30" customHeight="1" x14ac:dyDescent="0.2">
      <c r="B52" s="759"/>
      <c r="C52" s="158" t="s">
        <v>273</v>
      </c>
      <c r="D52" s="146" t="s">
        <v>114</v>
      </c>
      <c r="E52" s="146" t="s">
        <v>102</v>
      </c>
      <c r="F52" s="146">
        <v>27129360</v>
      </c>
      <c r="G52" s="146" t="s">
        <v>140</v>
      </c>
      <c r="H52" s="146" t="s">
        <v>247</v>
      </c>
      <c r="I52" s="474">
        <v>43228</v>
      </c>
      <c r="J52" s="475">
        <v>2000</v>
      </c>
      <c r="K52" s="476"/>
      <c r="L52" s="476"/>
      <c r="M52" s="148">
        <v>1</v>
      </c>
      <c r="N52" s="147">
        <f t="shared" si="0"/>
        <v>2000.001</v>
      </c>
      <c r="O52" s="148">
        <v>1</v>
      </c>
      <c r="P52" s="147">
        <f t="shared" si="2"/>
        <v>0.88957844095478944</v>
      </c>
      <c r="Q52" s="146" t="str">
        <f t="shared" si="1"/>
        <v>M-001</v>
      </c>
      <c r="R52" s="160" t="s">
        <v>197</v>
      </c>
      <c r="AS52" s="83"/>
    </row>
    <row r="53" spans="2:48" ht="30" customHeight="1" x14ac:dyDescent="0.2">
      <c r="B53" s="759"/>
      <c r="C53" s="158" t="s">
        <v>141</v>
      </c>
      <c r="D53" s="146" t="s">
        <v>114</v>
      </c>
      <c r="E53" s="146" t="s">
        <v>102</v>
      </c>
      <c r="F53" s="146">
        <v>27129360</v>
      </c>
      <c r="G53" s="146" t="s">
        <v>142</v>
      </c>
      <c r="H53" s="146" t="s">
        <v>247</v>
      </c>
      <c r="I53" s="474">
        <v>43228</v>
      </c>
      <c r="J53" s="475">
        <v>5000</v>
      </c>
      <c r="K53" s="476"/>
      <c r="L53" s="477"/>
      <c r="M53" s="146">
        <v>3.5</v>
      </c>
      <c r="N53" s="147">
        <f t="shared" si="0"/>
        <v>5000.0034999999998</v>
      </c>
      <c r="O53" s="146">
        <v>2.5</v>
      </c>
      <c r="P53" s="147">
        <f t="shared" si="2"/>
        <v>0.88957844095478944</v>
      </c>
      <c r="Q53" s="146" t="str">
        <f t="shared" si="1"/>
        <v>M-001</v>
      </c>
      <c r="R53" s="160" t="s">
        <v>197</v>
      </c>
      <c r="AS53" s="83"/>
    </row>
    <row r="54" spans="2:48" ht="30" customHeight="1" thickBot="1" x14ac:dyDescent="0.25">
      <c r="B54" s="760"/>
      <c r="C54" s="161" t="s">
        <v>143</v>
      </c>
      <c r="D54" s="150" t="s">
        <v>114</v>
      </c>
      <c r="E54" s="150" t="s">
        <v>102</v>
      </c>
      <c r="F54" s="150">
        <v>27129360</v>
      </c>
      <c r="G54" s="150" t="s">
        <v>144</v>
      </c>
      <c r="H54" s="150" t="s">
        <v>247</v>
      </c>
      <c r="I54" s="480">
        <v>43228</v>
      </c>
      <c r="J54" s="487">
        <v>10000</v>
      </c>
      <c r="K54" s="488"/>
      <c r="L54" s="489"/>
      <c r="M54" s="150">
        <v>8.1999999999999993</v>
      </c>
      <c r="N54" s="151">
        <f t="shared" si="0"/>
        <v>10000.0082</v>
      </c>
      <c r="O54" s="162">
        <v>5</v>
      </c>
      <c r="P54" s="151">
        <f t="shared" si="2"/>
        <v>0.88957844095478944</v>
      </c>
      <c r="Q54" s="150" t="str">
        <f t="shared" si="1"/>
        <v>M-001</v>
      </c>
      <c r="R54" s="163" t="s">
        <v>197</v>
      </c>
      <c r="AS54" s="83"/>
    </row>
    <row r="55" spans="2:48" ht="30" customHeight="1" x14ac:dyDescent="0.2">
      <c r="B55" s="759"/>
      <c r="C55" s="152" t="s">
        <v>145</v>
      </c>
      <c r="D55" s="153" t="s">
        <v>146</v>
      </c>
      <c r="E55" s="153" t="s">
        <v>198</v>
      </c>
      <c r="F55" s="153">
        <v>11119515</v>
      </c>
      <c r="G55" s="153">
        <v>1</v>
      </c>
      <c r="H55" s="153" t="s">
        <v>260</v>
      </c>
      <c r="I55" s="485">
        <v>43252</v>
      </c>
      <c r="J55" s="486">
        <v>1</v>
      </c>
      <c r="K55" s="490"/>
      <c r="L55" s="491"/>
      <c r="M55" s="153">
        <v>0.04</v>
      </c>
      <c r="N55" s="167">
        <f t="shared" si="0"/>
        <v>1.00004</v>
      </c>
      <c r="O55" s="153">
        <v>0.03</v>
      </c>
      <c r="P55" s="156">
        <f>(0.34848*((750.7+754.5)/2)-0.009024*((52.2+58.7)/2)*EXP(0.0612*((20+20.6)/2)))/(273.15+((20+20.6)/2))</f>
        <v>0.88782702273489045</v>
      </c>
      <c r="Q55" s="153" t="s">
        <v>147</v>
      </c>
      <c r="R55" s="157" t="s">
        <v>197</v>
      </c>
      <c r="AS55" s="83"/>
      <c r="AT55" s="78"/>
      <c r="AU55" s="78"/>
    </row>
    <row r="56" spans="2:48" ht="30" customHeight="1" x14ac:dyDescent="0.2">
      <c r="B56" s="759"/>
      <c r="C56" s="158" t="s">
        <v>148</v>
      </c>
      <c r="D56" s="146" t="s">
        <v>146</v>
      </c>
      <c r="E56" s="146" t="s">
        <v>198</v>
      </c>
      <c r="F56" s="146">
        <v>11119515</v>
      </c>
      <c r="G56" s="146" t="s">
        <v>150</v>
      </c>
      <c r="H56" s="146" t="s">
        <v>260</v>
      </c>
      <c r="I56" s="474">
        <v>43252</v>
      </c>
      <c r="J56" s="475">
        <v>2</v>
      </c>
      <c r="K56" s="476"/>
      <c r="L56" s="477"/>
      <c r="M56" s="146">
        <v>0.04</v>
      </c>
      <c r="N56" s="159">
        <f t="shared" si="0"/>
        <v>2.0000399999999998</v>
      </c>
      <c r="O56" s="146">
        <v>0.04</v>
      </c>
      <c r="P56" s="147">
        <f>(0.34848*((750.7+754.5)/2)-0.009024*((52.2+58.7)/2)*EXP(0.0612*((20+20.6)/2)))/(273.15+((20+20.6)/2))</f>
        <v>0.88782702273489045</v>
      </c>
      <c r="Q56" s="146" t="str">
        <f t="shared" ref="Q56:Q70" si="3">Q55</f>
        <v>M-002</v>
      </c>
      <c r="R56" s="160" t="s">
        <v>197</v>
      </c>
      <c r="AS56" s="83"/>
      <c r="AT56" s="78"/>
      <c r="AU56" s="78"/>
    </row>
    <row r="57" spans="2:48" ht="30" customHeight="1" x14ac:dyDescent="0.2">
      <c r="B57" s="759"/>
      <c r="C57" s="158" t="s">
        <v>149</v>
      </c>
      <c r="D57" s="146" t="s">
        <v>146</v>
      </c>
      <c r="E57" s="146" t="s">
        <v>198</v>
      </c>
      <c r="F57" s="146">
        <v>11119515</v>
      </c>
      <c r="G57" s="146">
        <v>2</v>
      </c>
      <c r="H57" s="146" t="s">
        <v>260</v>
      </c>
      <c r="I57" s="474">
        <v>43252</v>
      </c>
      <c r="J57" s="475">
        <v>2</v>
      </c>
      <c r="K57" s="476"/>
      <c r="L57" s="477"/>
      <c r="M57" s="146">
        <v>0.06</v>
      </c>
      <c r="N57" s="159">
        <f t="shared" si="0"/>
        <v>2.0000599999999999</v>
      </c>
      <c r="O57" s="146">
        <v>0.04</v>
      </c>
      <c r="P57" s="147">
        <f t="shared" ref="P57:P70" si="4">(0.34848*((750.7+754.5)/2)-0.009024*((52.2+58.7)/2)*EXP(0.0612*((20+20.6)/2)))/(273.15+((20+20.6)/2))</f>
        <v>0.88782702273489045</v>
      </c>
      <c r="Q57" s="146" t="str">
        <f t="shared" si="3"/>
        <v>M-002</v>
      </c>
      <c r="R57" s="160" t="s">
        <v>197</v>
      </c>
      <c r="AS57" s="83"/>
      <c r="AT57" s="78"/>
      <c r="AU57" s="78"/>
    </row>
    <row r="58" spans="2:48" ht="30" customHeight="1" x14ac:dyDescent="0.2">
      <c r="B58" s="759"/>
      <c r="C58" s="158" t="s">
        <v>151</v>
      </c>
      <c r="D58" s="146" t="s">
        <v>146</v>
      </c>
      <c r="E58" s="146" t="s">
        <v>198</v>
      </c>
      <c r="F58" s="146">
        <v>11119515</v>
      </c>
      <c r="G58" s="146">
        <v>5</v>
      </c>
      <c r="H58" s="146" t="s">
        <v>260</v>
      </c>
      <c r="I58" s="474">
        <v>43252</v>
      </c>
      <c r="J58" s="146">
        <v>5</v>
      </c>
      <c r="K58" s="476"/>
      <c r="L58" s="477"/>
      <c r="M58" s="149">
        <v>0.01</v>
      </c>
      <c r="N58" s="159">
        <f t="shared" si="0"/>
        <v>5.0000099999999996</v>
      </c>
      <c r="O58" s="146">
        <v>0.05</v>
      </c>
      <c r="P58" s="147">
        <f t="shared" si="4"/>
        <v>0.88782702273489045</v>
      </c>
      <c r="Q58" s="146" t="str">
        <f t="shared" si="3"/>
        <v>M-002</v>
      </c>
      <c r="R58" s="160" t="s">
        <v>197</v>
      </c>
      <c r="AS58" s="83"/>
      <c r="AT58" s="78"/>
      <c r="AU58" s="78"/>
    </row>
    <row r="59" spans="2:48" ht="30" customHeight="1" x14ac:dyDescent="0.2">
      <c r="B59" s="759"/>
      <c r="C59" s="158" t="s">
        <v>152</v>
      </c>
      <c r="D59" s="146" t="s">
        <v>146</v>
      </c>
      <c r="E59" s="146" t="s">
        <v>198</v>
      </c>
      <c r="F59" s="146">
        <v>11119515</v>
      </c>
      <c r="G59" s="146">
        <v>10</v>
      </c>
      <c r="H59" s="146" t="s">
        <v>260</v>
      </c>
      <c r="I59" s="474">
        <v>43252</v>
      </c>
      <c r="J59" s="146">
        <v>10</v>
      </c>
      <c r="K59" s="476"/>
      <c r="L59" s="477"/>
      <c r="M59" s="146">
        <v>7.0000000000000007E-2</v>
      </c>
      <c r="N59" s="159">
        <f t="shared" si="0"/>
        <v>10.000069999999999</v>
      </c>
      <c r="O59" s="146">
        <v>0.06</v>
      </c>
      <c r="P59" s="147">
        <f t="shared" si="4"/>
        <v>0.88782702273489045</v>
      </c>
      <c r="Q59" s="146" t="str">
        <f t="shared" si="3"/>
        <v>M-002</v>
      </c>
      <c r="R59" s="160" t="s">
        <v>197</v>
      </c>
      <c r="AS59" s="83"/>
      <c r="AT59" s="78"/>
      <c r="AU59" s="78"/>
    </row>
    <row r="60" spans="2:48" ht="30" customHeight="1" x14ac:dyDescent="0.2">
      <c r="B60" s="759"/>
      <c r="C60" s="158" t="s">
        <v>154</v>
      </c>
      <c r="D60" s="146" t="s">
        <v>146</v>
      </c>
      <c r="E60" s="146" t="s">
        <v>198</v>
      </c>
      <c r="F60" s="146">
        <v>11119515</v>
      </c>
      <c r="G60" s="146" t="s">
        <v>156</v>
      </c>
      <c r="H60" s="146" t="s">
        <v>260</v>
      </c>
      <c r="I60" s="474">
        <v>43252</v>
      </c>
      <c r="J60" s="146">
        <v>20</v>
      </c>
      <c r="K60" s="476"/>
      <c r="L60" s="477"/>
      <c r="M60" s="146">
        <v>0.08</v>
      </c>
      <c r="N60" s="159">
        <f t="shared" si="0"/>
        <v>20.000080000000001</v>
      </c>
      <c r="O60" s="146">
        <v>0.08</v>
      </c>
      <c r="P60" s="147">
        <f t="shared" si="4"/>
        <v>0.88782702273489045</v>
      </c>
      <c r="Q60" s="146" t="str">
        <f t="shared" si="3"/>
        <v>M-002</v>
      </c>
      <c r="R60" s="160" t="s">
        <v>197</v>
      </c>
      <c r="AS60" s="83"/>
      <c r="AT60" s="78"/>
      <c r="AU60" s="78"/>
    </row>
    <row r="61" spans="2:48" ht="30" customHeight="1" x14ac:dyDescent="0.2">
      <c r="B61" s="759"/>
      <c r="C61" s="158" t="s">
        <v>155</v>
      </c>
      <c r="D61" s="146" t="s">
        <v>146</v>
      </c>
      <c r="E61" s="146" t="s">
        <v>198</v>
      </c>
      <c r="F61" s="146">
        <v>11119515</v>
      </c>
      <c r="G61" s="146">
        <v>20</v>
      </c>
      <c r="H61" s="146" t="s">
        <v>260</v>
      </c>
      <c r="I61" s="474">
        <v>43252</v>
      </c>
      <c r="J61" s="146">
        <v>20</v>
      </c>
      <c r="K61" s="476"/>
      <c r="L61" s="477"/>
      <c r="M61" s="146">
        <v>7.0000000000000007E-2</v>
      </c>
      <c r="N61" s="159">
        <f t="shared" si="0"/>
        <v>20.000070000000001</v>
      </c>
      <c r="O61" s="146">
        <v>0.08</v>
      </c>
      <c r="P61" s="147">
        <f t="shared" si="4"/>
        <v>0.88782702273489045</v>
      </c>
      <c r="Q61" s="146" t="str">
        <f t="shared" si="3"/>
        <v>M-002</v>
      </c>
      <c r="R61" s="160" t="s">
        <v>197</v>
      </c>
      <c r="AS61" s="83"/>
      <c r="AT61" s="78"/>
      <c r="AU61" s="78"/>
    </row>
    <row r="62" spans="2:48" ht="30" customHeight="1" x14ac:dyDescent="0.2">
      <c r="B62" s="759"/>
      <c r="C62" s="158" t="s">
        <v>157</v>
      </c>
      <c r="D62" s="146" t="s">
        <v>146</v>
      </c>
      <c r="E62" s="146" t="s">
        <v>198</v>
      </c>
      <c r="F62" s="146">
        <v>11119515</v>
      </c>
      <c r="G62" s="146">
        <v>50</v>
      </c>
      <c r="H62" s="146" t="s">
        <v>260</v>
      </c>
      <c r="I62" s="474">
        <v>43252</v>
      </c>
      <c r="J62" s="146">
        <v>50</v>
      </c>
      <c r="K62" s="476"/>
      <c r="L62" s="477"/>
      <c r="M62" s="146">
        <v>0.13</v>
      </c>
      <c r="N62" s="159">
        <f t="shared" si="0"/>
        <v>50.000129999999999</v>
      </c>
      <c r="O62" s="149">
        <v>0.1</v>
      </c>
      <c r="P62" s="147">
        <f t="shared" si="4"/>
        <v>0.88782702273489045</v>
      </c>
      <c r="Q62" s="146" t="str">
        <f t="shared" si="3"/>
        <v>M-002</v>
      </c>
      <c r="R62" s="160" t="s">
        <v>197</v>
      </c>
      <c r="AS62" s="83"/>
      <c r="AT62" s="78"/>
      <c r="AU62" s="78"/>
    </row>
    <row r="63" spans="2:48" ht="30" customHeight="1" x14ac:dyDescent="0.2">
      <c r="B63" s="759"/>
      <c r="C63" s="158" t="s">
        <v>158</v>
      </c>
      <c r="D63" s="146" t="s">
        <v>146</v>
      </c>
      <c r="E63" s="146" t="s">
        <v>198</v>
      </c>
      <c r="F63" s="146">
        <v>11119515</v>
      </c>
      <c r="G63" s="146">
        <v>100</v>
      </c>
      <c r="H63" s="146" t="s">
        <v>260</v>
      </c>
      <c r="I63" s="474">
        <v>43252</v>
      </c>
      <c r="J63" s="146">
        <v>100</v>
      </c>
      <c r="K63" s="476"/>
      <c r="L63" s="477"/>
      <c r="M63" s="146">
        <v>0.14000000000000001</v>
      </c>
      <c r="N63" s="159">
        <f t="shared" si="0"/>
        <v>100.00014</v>
      </c>
      <c r="O63" s="146">
        <v>0.16</v>
      </c>
      <c r="P63" s="147">
        <f t="shared" si="4"/>
        <v>0.88782702273489045</v>
      </c>
      <c r="Q63" s="146" t="str">
        <f t="shared" si="3"/>
        <v>M-002</v>
      </c>
      <c r="R63" s="160" t="s">
        <v>197</v>
      </c>
      <c r="AT63" s="83"/>
      <c r="AU63" s="78"/>
      <c r="AV63" s="78"/>
    </row>
    <row r="64" spans="2:48" ht="30" customHeight="1" x14ac:dyDescent="0.2">
      <c r="B64" s="759"/>
      <c r="C64" s="158" t="s">
        <v>159</v>
      </c>
      <c r="D64" s="146" t="s">
        <v>146</v>
      </c>
      <c r="E64" s="146" t="s">
        <v>198</v>
      </c>
      <c r="F64" s="146">
        <v>11119515</v>
      </c>
      <c r="G64" s="146" t="s">
        <v>161</v>
      </c>
      <c r="H64" s="146" t="s">
        <v>260</v>
      </c>
      <c r="I64" s="474">
        <v>43252</v>
      </c>
      <c r="J64" s="146">
        <v>200</v>
      </c>
      <c r="K64" s="476"/>
      <c r="L64" s="477"/>
      <c r="M64" s="146">
        <v>0.3</v>
      </c>
      <c r="N64" s="147">
        <f t="shared" si="0"/>
        <v>200.00030000000001</v>
      </c>
      <c r="O64" s="146">
        <v>0.3</v>
      </c>
      <c r="P64" s="147">
        <f t="shared" si="4"/>
        <v>0.88782702273489045</v>
      </c>
      <c r="Q64" s="146" t="str">
        <f t="shared" si="3"/>
        <v>M-002</v>
      </c>
      <c r="R64" s="160" t="s">
        <v>197</v>
      </c>
      <c r="AT64" s="83"/>
      <c r="AU64" s="78"/>
      <c r="AV64" s="78"/>
    </row>
    <row r="65" spans="2:50" ht="30" customHeight="1" x14ac:dyDescent="0.2">
      <c r="B65" s="759"/>
      <c r="C65" s="158" t="s">
        <v>160</v>
      </c>
      <c r="D65" s="146" t="s">
        <v>146</v>
      </c>
      <c r="E65" s="146" t="s">
        <v>198</v>
      </c>
      <c r="F65" s="146">
        <v>11119515</v>
      </c>
      <c r="G65" s="146">
        <v>200</v>
      </c>
      <c r="H65" s="146" t="s">
        <v>260</v>
      </c>
      <c r="I65" s="474">
        <v>43252</v>
      </c>
      <c r="J65" s="146">
        <v>200</v>
      </c>
      <c r="K65" s="476"/>
      <c r="L65" s="477"/>
      <c r="M65" s="146">
        <v>0.2</v>
      </c>
      <c r="N65" s="147">
        <f t="shared" si="0"/>
        <v>200.00020000000001</v>
      </c>
      <c r="O65" s="146">
        <v>0.3</v>
      </c>
      <c r="P65" s="147">
        <f t="shared" si="4"/>
        <v>0.88782702273489045</v>
      </c>
      <c r="Q65" s="146" t="str">
        <f t="shared" si="3"/>
        <v>M-002</v>
      </c>
      <c r="R65" s="160" t="s">
        <v>197</v>
      </c>
      <c r="AT65" s="83"/>
      <c r="AU65" s="78"/>
      <c r="AV65" s="78"/>
    </row>
    <row r="66" spans="2:50" ht="30" customHeight="1" x14ac:dyDescent="0.2">
      <c r="B66" s="759"/>
      <c r="C66" s="158" t="s">
        <v>162</v>
      </c>
      <c r="D66" s="146" t="s">
        <v>146</v>
      </c>
      <c r="E66" s="146" t="s">
        <v>198</v>
      </c>
      <c r="F66" s="146">
        <v>11119515</v>
      </c>
      <c r="G66" s="146">
        <v>500</v>
      </c>
      <c r="H66" s="146" t="s">
        <v>260</v>
      </c>
      <c r="I66" s="474">
        <v>43252</v>
      </c>
      <c r="J66" s="146">
        <v>500</v>
      </c>
      <c r="K66" s="476"/>
      <c r="L66" s="477"/>
      <c r="M66" s="146">
        <v>0.8</v>
      </c>
      <c r="N66" s="147">
        <f t="shared" si="0"/>
        <v>500.00080000000003</v>
      </c>
      <c r="O66" s="146">
        <v>0.8</v>
      </c>
      <c r="P66" s="147">
        <f t="shared" si="4"/>
        <v>0.88782702273489045</v>
      </c>
      <c r="Q66" s="146" t="str">
        <f t="shared" si="3"/>
        <v>M-002</v>
      </c>
      <c r="R66" s="160" t="s">
        <v>197</v>
      </c>
      <c r="AI66" s="93"/>
      <c r="AJ66" s="93"/>
      <c r="AK66" s="93"/>
      <c r="AQ66" s="94"/>
      <c r="AR66" s="94"/>
      <c r="AS66" s="83"/>
      <c r="AT66" s="83"/>
      <c r="AU66" s="78"/>
      <c r="AV66" s="78"/>
    </row>
    <row r="67" spans="2:50" ht="30" customHeight="1" x14ac:dyDescent="0.2">
      <c r="B67" s="759"/>
      <c r="C67" s="158" t="s">
        <v>163</v>
      </c>
      <c r="D67" s="146" t="s">
        <v>146</v>
      </c>
      <c r="E67" s="146" t="s">
        <v>198</v>
      </c>
      <c r="F67" s="146">
        <v>11119515</v>
      </c>
      <c r="G67" s="146">
        <v>1</v>
      </c>
      <c r="H67" s="146" t="s">
        <v>260</v>
      </c>
      <c r="I67" s="474">
        <v>43252</v>
      </c>
      <c r="J67" s="475">
        <v>1000</v>
      </c>
      <c r="K67" s="476"/>
      <c r="L67" s="476"/>
      <c r="M67" s="146">
        <v>1.9</v>
      </c>
      <c r="N67" s="147">
        <f t="shared" si="0"/>
        <v>1000.0019</v>
      </c>
      <c r="O67" s="146">
        <v>1.6</v>
      </c>
      <c r="P67" s="147">
        <f t="shared" si="4"/>
        <v>0.88782702273489045</v>
      </c>
      <c r="Q67" s="146" t="str">
        <f t="shared" si="3"/>
        <v>M-002</v>
      </c>
      <c r="R67" s="160" t="s">
        <v>197</v>
      </c>
      <c r="AI67" s="95"/>
      <c r="AJ67" s="95"/>
      <c r="AK67" s="95"/>
      <c r="AQ67" s="95"/>
      <c r="AR67" s="95"/>
      <c r="AS67" s="95"/>
      <c r="AT67" s="95"/>
      <c r="AU67" s="95"/>
      <c r="AV67" s="95"/>
      <c r="AW67" s="95"/>
      <c r="AX67" s="95"/>
    </row>
    <row r="68" spans="2:50" ht="30" customHeight="1" x14ac:dyDescent="0.2">
      <c r="B68" s="759"/>
      <c r="C68" s="158" t="s">
        <v>164</v>
      </c>
      <c r="D68" s="146" t="s">
        <v>146</v>
      </c>
      <c r="E68" s="146" t="s">
        <v>198</v>
      </c>
      <c r="F68" s="146">
        <v>11119515</v>
      </c>
      <c r="G68" s="146" t="s">
        <v>150</v>
      </c>
      <c r="H68" s="146" t="s">
        <v>260</v>
      </c>
      <c r="I68" s="474">
        <v>43252</v>
      </c>
      <c r="J68" s="475">
        <v>2000</v>
      </c>
      <c r="K68" s="476"/>
      <c r="L68" s="476"/>
      <c r="M68" s="148">
        <v>1.9</v>
      </c>
      <c r="N68" s="147">
        <f t="shared" si="0"/>
        <v>2000.0019</v>
      </c>
      <c r="O68" s="148">
        <v>3</v>
      </c>
      <c r="P68" s="147">
        <f t="shared" si="4"/>
        <v>0.88782702273489045</v>
      </c>
      <c r="Q68" s="146" t="str">
        <f t="shared" si="3"/>
        <v>M-002</v>
      </c>
      <c r="R68" s="160" t="s">
        <v>197</v>
      </c>
      <c r="AE68" s="95"/>
      <c r="AF68" s="95"/>
      <c r="AG68" s="95"/>
      <c r="AH68" s="95"/>
      <c r="AI68" s="95"/>
      <c r="AJ68" s="95"/>
      <c r="AK68" s="95"/>
      <c r="AQ68" s="95"/>
      <c r="AR68" s="95"/>
      <c r="AS68" s="95"/>
      <c r="AT68" s="95"/>
      <c r="AU68" s="95"/>
      <c r="AV68" s="95"/>
      <c r="AW68" s="95"/>
      <c r="AX68" s="95"/>
    </row>
    <row r="69" spans="2:50" ht="30" customHeight="1" x14ac:dyDescent="0.2">
      <c r="B69" s="759"/>
      <c r="C69" s="158" t="s">
        <v>165</v>
      </c>
      <c r="D69" s="146" t="s">
        <v>146</v>
      </c>
      <c r="E69" s="146" t="s">
        <v>198</v>
      </c>
      <c r="F69" s="146">
        <v>11119515</v>
      </c>
      <c r="G69" s="146">
        <v>2</v>
      </c>
      <c r="H69" s="146" t="s">
        <v>260</v>
      </c>
      <c r="I69" s="474">
        <v>43252</v>
      </c>
      <c r="J69" s="475">
        <v>2000</v>
      </c>
      <c r="K69" s="476"/>
      <c r="L69" s="476"/>
      <c r="M69" s="148">
        <v>2.1</v>
      </c>
      <c r="N69" s="147">
        <f t="shared" si="0"/>
        <v>2000.0020999999999</v>
      </c>
      <c r="O69" s="148">
        <v>3</v>
      </c>
      <c r="P69" s="147">
        <f t="shared" si="4"/>
        <v>0.88782702273489045</v>
      </c>
      <c r="Q69" s="146" t="str">
        <f t="shared" si="3"/>
        <v>M-002</v>
      </c>
      <c r="R69" s="160" t="s">
        <v>197</v>
      </c>
      <c r="S69" s="77"/>
      <c r="T69" s="77"/>
      <c r="U69" s="77"/>
      <c r="V69" s="77"/>
      <c r="W69" s="77"/>
      <c r="X69" s="77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Q69" s="95"/>
      <c r="AR69" s="95"/>
      <c r="AS69" s="95"/>
      <c r="AT69" s="95"/>
      <c r="AU69" s="95"/>
      <c r="AV69" s="95"/>
      <c r="AW69" s="95"/>
      <c r="AX69" s="95"/>
    </row>
    <row r="70" spans="2:50" ht="30" customHeight="1" thickBot="1" x14ac:dyDescent="0.25">
      <c r="B70" s="760"/>
      <c r="C70" s="161" t="s">
        <v>166</v>
      </c>
      <c r="D70" s="150" t="s">
        <v>146</v>
      </c>
      <c r="E70" s="150" t="s">
        <v>198</v>
      </c>
      <c r="F70" s="150">
        <v>11119515</v>
      </c>
      <c r="G70" s="150">
        <v>5</v>
      </c>
      <c r="H70" s="150" t="s">
        <v>260</v>
      </c>
      <c r="I70" s="480">
        <v>43252</v>
      </c>
      <c r="J70" s="487">
        <v>5000</v>
      </c>
      <c r="K70" s="488"/>
      <c r="L70" s="488"/>
      <c r="M70" s="150">
        <v>5.8</v>
      </c>
      <c r="N70" s="151">
        <f t="shared" si="0"/>
        <v>5000.0057999999999</v>
      </c>
      <c r="O70" s="162">
        <v>8</v>
      </c>
      <c r="P70" s="151">
        <f t="shared" si="4"/>
        <v>0.88782702273489045</v>
      </c>
      <c r="Q70" s="150" t="str">
        <f t="shared" si="3"/>
        <v>M-002</v>
      </c>
      <c r="R70" s="163" t="s">
        <v>197</v>
      </c>
      <c r="S70" s="77"/>
      <c r="T70" s="77"/>
      <c r="U70" s="77"/>
      <c r="V70" s="77"/>
      <c r="W70" s="77"/>
      <c r="X70" s="77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Q70" s="95"/>
      <c r="AR70" s="95"/>
      <c r="AS70" s="95"/>
      <c r="AT70" s="95"/>
      <c r="AU70" s="95"/>
      <c r="AV70" s="95"/>
      <c r="AW70" s="95"/>
      <c r="AX70" s="95"/>
    </row>
    <row r="71" spans="2:50" ht="30" customHeight="1" thickBot="1" x14ac:dyDescent="0.25">
      <c r="B71" s="168"/>
      <c r="C71" s="320" t="s">
        <v>167</v>
      </c>
      <c r="D71" s="321" t="s">
        <v>146</v>
      </c>
      <c r="E71" s="321" t="s">
        <v>198</v>
      </c>
      <c r="F71" s="321">
        <v>11119467</v>
      </c>
      <c r="G71" s="321">
        <v>10</v>
      </c>
      <c r="H71" s="321" t="s">
        <v>248</v>
      </c>
      <c r="I71" s="492">
        <v>43670</v>
      </c>
      <c r="J71" s="493">
        <v>10000</v>
      </c>
      <c r="K71" s="494"/>
      <c r="L71" s="494"/>
      <c r="M71" s="321">
        <v>7</v>
      </c>
      <c r="N71" s="322">
        <f t="shared" si="0"/>
        <v>10000.007</v>
      </c>
      <c r="O71" s="321">
        <v>16</v>
      </c>
      <c r="P71" s="323">
        <f>(0.34848*((752.6+754.6)/2)-0.009024*((54.2+56.2)/2)*EXP(0.0612*((20+20.2)/2)))/(273.15+((20+20.2)/2))</f>
        <v>0.88971909362420276</v>
      </c>
      <c r="Q71" s="321" t="s">
        <v>168</v>
      </c>
      <c r="R71" s="324" t="s">
        <v>197</v>
      </c>
      <c r="S71" s="77"/>
      <c r="T71" s="77"/>
      <c r="U71" s="77"/>
      <c r="V71" s="77"/>
      <c r="W71" s="77"/>
      <c r="X71" s="77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Q71" s="95"/>
      <c r="AR71" s="95"/>
      <c r="AS71" s="95"/>
      <c r="AT71" s="95"/>
      <c r="AU71" s="95"/>
      <c r="AV71" s="95"/>
      <c r="AW71" s="95"/>
      <c r="AX71" s="95"/>
    </row>
    <row r="72" spans="2:50" ht="30" customHeight="1" thickBot="1" x14ac:dyDescent="0.25">
      <c r="B72" s="346"/>
      <c r="C72" s="325" t="s">
        <v>169</v>
      </c>
      <c r="D72" s="326" t="s">
        <v>146</v>
      </c>
      <c r="E72" s="326" t="s">
        <v>198</v>
      </c>
      <c r="F72" s="326">
        <v>11119468</v>
      </c>
      <c r="G72" s="326">
        <v>20</v>
      </c>
      <c r="H72" s="326" t="s">
        <v>340</v>
      </c>
      <c r="I72" s="495">
        <v>43682</v>
      </c>
      <c r="J72" s="496">
        <v>20000</v>
      </c>
      <c r="K72" s="497"/>
      <c r="L72" s="497"/>
      <c r="M72" s="326">
        <v>-4</v>
      </c>
      <c r="N72" s="327">
        <f t="shared" si="0"/>
        <v>19999.995999999999</v>
      </c>
      <c r="O72" s="326">
        <v>30</v>
      </c>
      <c r="P72" s="328">
        <f>(0.34848*((754.3+754.5)/2)-0.009024*((46.7+46.8)/2)*EXP(0.0612*((21.4+21.5)/2)))/(273.15+((21.4+21.5)/2))</f>
        <v>0.88705190473328321</v>
      </c>
      <c r="Q72" s="326" t="s">
        <v>170</v>
      </c>
      <c r="R72" s="329" t="s">
        <v>197</v>
      </c>
      <c r="S72" s="77"/>
      <c r="T72" s="77"/>
      <c r="U72" s="77"/>
      <c r="V72" s="77"/>
      <c r="W72" s="77"/>
      <c r="X72" s="77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Q72" s="95"/>
      <c r="AR72" s="95"/>
      <c r="AS72" s="95"/>
      <c r="AT72" s="95"/>
      <c r="AU72" s="95"/>
      <c r="AV72" s="95"/>
      <c r="AW72" s="95"/>
      <c r="AX72" s="95"/>
    </row>
    <row r="73" spans="2:50" ht="30" customHeight="1" x14ac:dyDescent="0.2">
      <c r="B73" s="756" t="s">
        <v>329</v>
      </c>
      <c r="C73" s="459" t="s">
        <v>312</v>
      </c>
      <c r="D73" s="153" t="s">
        <v>146</v>
      </c>
      <c r="E73" s="153" t="s">
        <v>171</v>
      </c>
      <c r="F73" s="153" t="s">
        <v>199</v>
      </c>
      <c r="G73" s="153" t="s">
        <v>172</v>
      </c>
      <c r="H73" s="153" t="s">
        <v>249</v>
      </c>
      <c r="I73" s="485">
        <v>43228</v>
      </c>
      <c r="J73" s="153">
        <v>1</v>
      </c>
      <c r="K73" s="490"/>
      <c r="L73" s="490"/>
      <c r="M73" s="155">
        <v>0.04</v>
      </c>
      <c r="N73" s="167">
        <f t="shared" si="0"/>
        <v>1.00004</v>
      </c>
      <c r="O73" s="155">
        <v>3.3000000000000002E-2</v>
      </c>
      <c r="P73" s="156">
        <f>(0.34848*((751.2+755.7)/2)-0.009024*((48.4+57.9)/2)*EXP(0.0612*((19.5+20.7)/2)))/(273.15+((19.5+20.7)/2))</f>
        <v>0.88975669159417592</v>
      </c>
      <c r="Q73" s="153" t="s">
        <v>173</v>
      </c>
      <c r="R73" s="157" t="s">
        <v>197</v>
      </c>
      <c r="S73" s="77"/>
      <c r="T73" s="77"/>
      <c r="U73" s="77"/>
      <c r="V73" s="77"/>
      <c r="W73" s="77"/>
      <c r="X73" s="77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</row>
    <row r="74" spans="2:50" ht="30" customHeight="1" x14ac:dyDescent="0.2">
      <c r="B74" s="757"/>
      <c r="C74" s="460" t="s">
        <v>313</v>
      </c>
      <c r="D74" s="146" t="s">
        <v>146</v>
      </c>
      <c r="E74" s="146" t="s">
        <v>171</v>
      </c>
      <c r="F74" s="146" t="s">
        <v>199</v>
      </c>
      <c r="G74" s="146" t="s">
        <v>172</v>
      </c>
      <c r="H74" s="146" t="s">
        <v>249</v>
      </c>
      <c r="I74" s="474">
        <v>43228</v>
      </c>
      <c r="J74" s="146">
        <v>2</v>
      </c>
      <c r="K74" s="476"/>
      <c r="L74" s="476"/>
      <c r="M74" s="149">
        <v>0.04</v>
      </c>
      <c r="N74" s="159">
        <f t="shared" si="0"/>
        <v>2.0000399999999998</v>
      </c>
      <c r="O74" s="149">
        <v>0.04</v>
      </c>
      <c r="P74" s="147">
        <f t="shared" ref="P74:P88" si="5">(0.34848*((751.2+755.7)/2)-0.009024*((48.4+57.9)/2)*EXP(0.0612*((19.5+20.7)/2)))/(273.15+((19.5+20.7)/2))</f>
        <v>0.88975669159417592</v>
      </c>
      <c r="Q74" s="146" t="str">
        <f>Q73</f>
        <v>M-016</v>
      </c>
      <c r="R74" s="160" t="s">
        <v>197</v>
      </c>
      <c r="S74" s="77"/>
      <c r="T74" s="77"/>
      <c r="U74" s="77"/>
      <c r="V74" s="77"/>
      <c r="W74" s="77"/>
      <c r="X74" s="77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</row>
    <row r="75" spans="2:50" ht="30" customHeight="1" x14ac:dyDescent="0.2">
      <c r="B75" s="757"/>
      <c r="C75" s="460" t="s">
        <v>314</v>
      </c>
      <c r="D75" s="146" t="s">
        <v>146</v>
      </c>
      <c r="E75" s="146" t="s">
        <v>171</v>
      </c>
      <c r="F75" s="146" t="s">
        <v>199</v>
      </c>
      <c r="G75" s="146" t="s">
        <v>174</v>
      </c>
      <c r="H75" s="146" t="s">
        <v>249</v>
      </c>
      <c r="I75" s="474">
        <v>43228</v>
      </c>
      <c r="J75" s="146">
        <v>2</v>
      </c>
      <c r="K75" s="476"/>
      <c r="L75" s="476"/>
      <c r="M75" s="146">
        <v>0.05</v>
      </c>
      <c r="N75" s="165">
        <f t="shared" si="0"/>
        <v>2.0000499999999999</v>
      </c>
      <c r="O75" s="149">
        <v>0.04</v>
      </c>
      <c r="P75" s="147">
        <f t="shared" si="5"/>
        <v>0.88975669159417592</v>
      </c>
      <c r="Q75" s="146" t="str">
        <f t="shared" ref="Q75:Q88" si="6">Q74</f>
        <v>M-016</v>
      </c>
      <c r="R75" s="160" t="s">
        <v>197</v>
      </c>
      <c r="U75" s="77"/>
      <c r="V75" s="77"/>
      <c r="W75" s="77"/>
      <c r="X75" s="77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</row>
    <row r="76" spans="2:50" ht="30" customHeight="1" x14ac:dyDescent="0.2">
      <c r="B76" s="757"/>
      <c r="C76" s="460" t="s">
        <v>315</v>
      </c>
      <c r="D76" s="146" t="s">
        <v>146</v>
      </c>
      <c r="E76" s="146" t="s">
        <v>171</v>
      </c>
      <c r="F76" s="146" t="s">
        <v>199</v>
      </c>
      <c r="G76" s="146" t="s">
        <v>172</v>
      </c>
      <c r="H76" s="146" t="s">
        <v>249</v>
      </c>
      <c r="I76" s="474">
        <v>43228</v>
      </c>
      <c r="J76" s="146">
        <v>5</v>
      </c>
      <c r="K76" s="476"/>
      <c r="L76" s="476"/>
      <c r="M76" s="146">
        <v>7.0000000000000007E-2</v>
      </c>
      <c r="N76" s="165">
        <f t="shared" si="0"/>
        <v>5.00007</v>
      </c>
      <c r="O76" s="149">
        <v>5.2999999999999999E-2</v>
      </c>
      <c r="P76" s="147">
        <f t="shared" si="5"/>
        <v>0.88975669159417592</v>
      </c>
      <c r="Q76" s="146" t="str">
        <f t="shared" si="6"/>
        <v>M-016</v>
      </c>
      <c r="R76" s="160" t="s">
        <v>197</v>
      </c>
      <c r="U76" s="77"/>
      <c r="V76" s="77"/>
      <c r="W76" s="77"/>
      <c r="X76" s="77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</row>
    <row r="77" spans="2:50" ht="30" customHeight="1" x14ac:dyDescent="0.2">
      <c r="B77" s="757"/>
      <c r="C77" s="460" t="s">
        <v>316</v>
      </c>
      <c r="D77" s="146" t="s">
        <v>146</v>
      </c>
      <c r="E77" s="146" t="s">
        <v>171</v>
      </c>
      <c r="F77" s="146" t="s">
        <v>199</v>
      </c>
      <c r="G77" s="146" t="s">
        <v>172</v>
      </c>
      <c r="H77" s="146" t="s">
        <v>249</v>
      </c>
      <c r="I77" s="474">
        <v>43228</v>
      </c>
      <c r="J77" s="146">
        <v>10</v>
      </c>
      <c r="K77" s="476"/>
      <c r="L77" s="476"/>
      <c r="M77" s="146">
        <v>0.09</v>
      </c>
      <c r="N77" s="165">
        <f t="shared" si="0"/>
        <v>10.00009</v>
      </c>
      <c r="O77" s="149">
        <v>0.06</v>
      </c>
      <c r="P77" s="147">
        <f t="shared" si="5"/>
        <v>0.88975669159417592</v>
      </c>
      <c r="Q77" s="146" t="str">
        <f t="shared" si="6"/>
        <v>M-016</v>
      </c>
      <c r="R77" s="160" t="s">
        <v>197</v>
      </c>
      <c r="U77" s="77"/>
      <c r="V77" s="77"/>
      <c r="W77" s="77"/>
      <c r="X77" s="77"/>
      <c r="Y77" s="77"/>
      <c r="Z77" s="77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</row>
    <row r="78" spans="2:50" ht="30" customHeight="1" x14ac:dyDescent="0.2">
      <c r="B78" s="757"/>
      <c r="C78" s="460" t="s">
        <v>317</v>
      </c>
      <c r="D78" s="146" t="s">
        <v>146</v>
      </c>
      <c r="E78" s="146" t="s">
        <v>171</v>
      </c>
      <c r="F78" s="146" t="s">
        <v>199</v>
      </c>
      <c r="G78" s="146" t="s">
        <v>172</v>
      </c>
      <c r="H78" s="146" t="s">
        <v>249</v>
      </c>
      <c r="I78" s="474">
        <v>43228</v>
      </c>
      <c r="J78" s="146">
        <v>20</v>
      </c>
      <c r="K78" s="476"/>
      <c r="L78" s="476"/>
      <c r="M78" s="146">
        <v>0.11</v>
      </c>
      <c r="N78" s="165">
        <f t="shared" si="0"/>
        <v>20.000109999999999</v>
      </c>
      <c r="O78" s="149">
        <v>8.3000000000000004E-2</v>
      </c>
      <c r="P78" s="147">
        <f t="shared" si="5"/>
        <v>0.88975669159417592</v>
      </c>
      <c r="Q78" s="146" t="str">
        <f t="shared" si="6"/>
        <v>M-016</v>
      </c>
      <c r="R78" s="160" t="s">
        <v>197</v>
      </c>
      <c r="U78" s="77"/>
      <c r="V78" s="77"/>
      <c r="W78" s="77"/>
      <c r="X78" s="77"/>
      <c r="Y78" s="77"/>
      <c r="Z78" s="77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</row>
    <row r="79" spans="2:50" ht="30" customHeight="1" x14ac:dyDescent="0.2">
      <c r="B79" s="757"/>
      <c r="C79" s="460" t="s">
        <v>318</v>
      </c>
      <c r="D79" s="146" t="s">
        <v>146</v>
      </c>
      <c r="E79" s="146" t="s">
        <v>171</v>
      </c>
      <c r="F79" s="146" t="s">
        <v>199</v>
      </c>
      <c r="G79" s="146" t="s">
        <v>174</v>
      </c>
      <c r="H79" s="146" t="s">
        <v>249</v>
      </c>
      <c r="I79" s="474">
        <v>43228</v>
      </c>
      <c r="J79" s="146">
        <v>20</v>
      </c>
      <c r="K79" s="476"/>
      <c r="L79" s="476"/>
      <c r="M79" s="149">
        <v>0.1</v>
      </c>
      <c r="N79" s="165">
        <f t="shared" si="0"/>
        <v>20.0001</v>
      </c>
      <c r="O79" s="149">
        <v>8.3000000000000004E-2</v>
      </c>
      <c r="P79" s="147">
        <f t="shared" si="5"/>
        <v>0.88975669159417592</v>
      </c>
      <c r="Q79" s="146" t="str">
        <f t="shared" si="6"/>
        <v>M-016</v>
      </c>
      <c r="R79" s="160" t="s">
        <v>197</v>
      </c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</row>
    <row r="80" spans="2:50" ht="30" customHeight="1" x14ac:dyDescent="0.2">
      <c r="B80" s="757"/>
      <c r="C80" s="460" t="s">
        <v>319</v>
      </c>
      <c r="D80" s="146" t="s">
        <v>146</v>
      </c>
      <c r="E80" s="146" t="s">
        <v>171</v>
      </c>
      <c r="F80" s="146" t="s">
        <v>199</v>
      </c>
      <c r="G80" s="146" t="s">
        <v>172</v>
      </c>
      <c r="H80" s="146" t="s">
        <v>249</v>
      </c>
      <c r="I80" s="474">
        <v>43228</v>
      </c>
      <c r="J80" s="146">
        <v>50</v>
      </c>
      <c r="K80" s="476"/>
      <c r="L80" s="476"/>
      <c r="M80" s="149">
        <v>0.1</v>
      </c>
      <c r="N80" s="159">
        <f t="shared" si="0"/>
        <v>50.000100000000003</v>
      </c>
      <c r="O80" s="149">
        <v>0.1</v>
      </c>
      <c r="P80" s="147">
        <f t="shared" si="5"/>
        <v>0.88975669159417592</v>
      </c>
      <c r="Q80" s="146" t="str">
        <f t="shared" si="6"/>
        <v>M-016</v>
      </c>
      <c r="R80" s="160" t="s">
        <v>197</v>
      </c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</row>
    <row r="81" spans="2:50" ht="30" customHeight="1" x14ac:dyDescent="0.2">
      <c r="B81" s="757"/>
      <c r="C81" s="460" t="s">
        <v>320</v>
      </c>
      <c r="D81" s="146" t="s">
        <v>146</v>
      </c>
      <c r="E81" s="146" t="s">
        <v>171</v>
      </c>
      <c r="F81" s="146" t="s">
        <v>199</v>
      </c>
      <c r="G81" s="146" t="s">
        <v>172</v>
      </c>
      <c r="H81" s="146" t="s">
        <v>249</v>
      </c>
      <c r="I81" s="474">
        <v>43228</v>
      </c>
      <c r="J81" s="146">
        <v>100</v>
      </c>
      <c r="K81" s="476"/>
      <c r="L81" s="476"/>
      <c r="M81" s="146">
        <v>0.12</v>
      </c>
      <c r="N81" s="159">
        <f t="shared" si="0"/>
        <v>100.00012</v>
      </c>
      <c r="O81" s="146">
        <v>0.16</v>
      </c>
      <c r="P81" s="147">
        <f t="shared" si="5"/>
        <v>0.88975669159417592</v>
      </c>
      <c r="Q81" s="146" t="str">
        <f t="shared" si="6"/>
        <v>M-016</v>
      </c>
      <c r="R81" s="160" t="s">
        <v>197</v>
      </c>
      <c r="U81" s="77"/>
      <c r="V81" s="77"/>
      <c r="W81" s="77"/>
      <c r="X81" s="77"/>
      <c r="Y81" s="77"/>
      <c r="Z81" s="77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V81" s="95"/>
      <c r="AW81" s="95"/>
      <c r="AX81" s="95"/>
    </row>
    <row r="82" spans="2:50" ht="30" customHeight="1" x14ac:dyDescent="0.2">
      <c r="B82" s="757"/>
      <c r="C82" s="460" t="s">
        <v>321</v>
      </c>
      <c r="D82" s="146" t="s">
        <v>146</v>
      </c>
      <c r="E82" s="146" t="s">
        <v>171</v>
      </c>
      <c r="F82" s="146" t="s">
        <v>199</v>
      </c>
      <c r="G82" s="146" t="s">
        <v>172</v>
      </c>
      <c r="H82" s="146" t="s">
        <v>249</v>
      </c>
      <c r="I82" s="474">
        <v>43228</v>
      </c>
      <c r="J82" s="146">
        <v>200</v>
      </c>
      <c r="K82" s="476"/>
      <c r="L82" s="476"/>
      <c r="M82" s="146">
        <v>0.3</v>
      </c>
      <c r="N82" s="159">
        <f t="shared" si="0"/>
        <v>200.00030000000001</v>
      </c>
      <c r="O82" s="148">
        <v>0.33</v>
      </c>
      <c r="P82" s="147">
        <f t="shared" si="5"/>
        <v>0.88975669159417592</v>
      </c>
      <c r="Q82" s="146" t="str">
        <f t="shared" si="6"/>
        <v>M-016</v>
      </c>
      <c r="R82" s="160" t="s">
        <v>197</v>
      </c>
      <c r="U82" s="77"/>
      <c r="V82" s="77"/>
      <c r="W82" s="77"/>
      <c r="X82" s="77"/>
      <c r="Y82" s="77"/>
      <c r="Z82" s="77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V82" s="95"/>
      <c r="AW82" s="95"/>
      <c r="AX82" s="95"/>
    </row>
    <row r="83" spans="2:50" ht="30" customHeight="1" x14ac:dyDescent="0.2">
      <c r="B83" s="757"/>
      <c r="C83" s="460" t="s">
        <v>322</v>
      </c>
      <c r="D83" s="146" t="s">
        <v>146</v>
      </c>
      <c r="E83" s="146" t="s">
        <v>171</v>
      </c>
      <c r="F83" s="146" t="s">
        <v>199</v>
      </c>
      <c r="G83" s="146" t="s">
        <v>174</v>
      </c>
      <c r="H83" s="146" t="s">
        <v>249</v>
      </c>
      <c r="I83" s="474">
        <v>43228</v>
      </c>
      <c r="J83" s="146">
        <v>200</v>
      </c>
      <c r="K83" s="476"/>
      <c r="L83" s="476"/>
      <c r="M83" s="146">
        <v>0.4</v>
      </c>
      <c r="N83" s="159">
        <f t="shared" si="0"/>
        <v>200.00040000000001</v>
      </c>
      <c r="O83" s="148">
        <v>0.33</v>
      </c>
      <c r="P83" s="147">
        <f t="shared" si="5"/>
        <v>0.88975669159417592</v>
      </c>
      <c r="Q83" s="146" t="str">
        <f t="shared" si="6"/>
        <v>M-016</v>
      </c>
      <c r="R83" s="160" t="s">
        <v>197</v>
      </c>
      <c r="U83" s="77"/>
      <c r="V83" s="77"/>
      <c r="W83" s="77"/>
      <c r="X83" s="77"/>
      <c r="Y83" s="77"/>
      <c r="Z83" s="77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V83" s="95"/>
      <c r="AW83" s="95"/>
      <c r="AX83" s="95"/>
    </row>
    <row r="84" spans="2:50" ht="30" customHeight="1" x14ac:dyDescent="0.2">
      <c r="B84" s="757"/>
      <c r="C84" s="460" t="s">
        <v>323</v>
      </c>
      <c r="D84" s="146" t="s">
        <v>146</v>
      </c>
      <c r="E84" s="146" t="s">
        <v>171</v>
      </c>
      <c r="F84" s="146" t="s">
        <v>199</v>
      </c>
      <c r="G84" s="146" t="s">
        <v>172</v>
      </c>
      <c r="H84" s="146" t="s">
        <v>249</v>
      </c>
      <c r="I84" s="474">
        <v>43228</v>
      </c>
      <c r="J84" s="146">
        <v>500</v>
      </c>
      <c r="K84" s="476"/>
      <c r="L84" s="476"/>
      <c r="M84" s="146">
        <v>0.9</v>
      </c>
      <c r="N84" s="159">
        <f t="shared" si="0"/>
        <v>500.0009</v>
      </c>
      <c r="O84" s="148">
        <v>0.83</v>
      </c>
      <c r="P84" s="147">
        <f t="shared" si="5"/>
        <v>0.88975669159417592</v>
      </c>
      <c r="Q84" s="146" t="str">
        <f t="shared" si="6"/>
        <v>M-016</v>
      </c>
      <c r="R84" s="160" t="s">
        <v>197</v>
      </c>
      <c r="S84" s="77"/>
      <c r="T84" s="77"/>
      <c r="U84" s="77"/>
      <c r="V84" s="77"/>
      <c r="W84" s="77"/>
      <c r="X84" s="77"/>
      <c r="Y84" s="77"/>
      <c r="Z84" s="77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V84" s="95"/>
      <c r="AW84" s="95"/>
      <c r="AX84" s="95"/>
    </row>
    <row r="85" spans="2:50" ht="30" customHeight="1" x14ac:dyDescent="0.2">
      <c r="B85" s="757"/>
      <c r="C85" s="460" t="s">
        <v>324</v>
      </c>
      <c r="D85" s="146" t="s">
        <v>146</v>
      </c>
      <c r="E85" s="146" t="s">
        <v>171</v>
      </c>
      <c r="F85" s="146" t="s">
        <v>199</v>
      </c>
      <c r="G85" s="146" t="s">
        <v>172</v>
      </c>
      <c r="H85" s="146" t="s">
        <v>249</v>
      </c>
      <c r="I85" s="474">
        <v>43228</v>
      </c>
      <c r="J85" s="475">
        <v>1000</v>
      </c>
      <c r="K85" s="476"/>
      <c r="L85" s="476"/>
      <c r="M85" s="148">
        <v>-0.5</v>
      </c>
      <c r="N85" s="147">
        <f t="shared" si="0"/>
        <v>999.99950000000001</v>
      </c>
      <c r="O85" s="146">
        <v>1.6</v>
      </c>
      <c r="P85" s="147">
        <f t="shared" si="5"/>
        <v>0.88975669159417592</v>
      </c>
      <c r="Q85" s="146" t="str">
        <f t="shared" si="6"/>
        <v>M-016</v>
      </c>
      <c r="R85" s="160" t="s">
        <v>197</v>
      </c>
      <c r="S85" s="77"/>
      <c r="T85" s="77"/>
      <c r="U85" s="77"/>
      <c r="V85" s="77"/>
      <c r="W85" s="77"/>
      <c r="X85" s="77"/>
      <c r="Y85" s="77"/>
      <c r="Z85" s="77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V85" s="95"/>
      <c r="AW85" s="95"/>
      <c r="AX85" s="95"/>
    </row>
    <row r="86" spans="2:50" ht="30" customHeight="1" x14ac:dyDescent="0.2">
      <c r="B86" s="757"/>
      <c r="C86" s="460" t="s">
        <v>325</v>
      </c>
      <c r="D86" s="146" t="s">
        <v>146</v>
      </c>
      <c r="E86" s="146" t="s">
        <v>171</v>
      </c>
      <c r="F86" s="146" t="s">
        <v>199</v>
      </c>
      <c r="G86" s="146" t="s">
        <v>172</v>
      </c>
      <c r="H86" s="146" t="s">
        <v>249</v>
      </c>
      <c r="I86" s="474">
        <v>43228</v>
      </c>
      <c r="J86" s="475">
        <v>2000</v>
      </c>
      <c r="K86" s="476"/>
      <c r="L86" s="476"/>
      <c r="M86" s="148">
        <v>3.1</v>
      </c>
      <c r="N86" s="147">
        <f t="shared" si="0"/>
        <v>2000.0030999999999</v>
      </c>
      <c r="O86" s="148">
        <v>3</v>
      </c>
      <c r="P86" s="147">
        <f t="shared" si="5"/>
        <v>0.88975669159417592</v>
      </c>
      <c r="Q86" s="146" t="str">
        <f t="shared" si="6"/>
        <v>M-016</v>
      </c>
      <c r="R86" s="160" t="s">
        <v>197</v>
      </c>
      <c r="S86" s="77"/>
      <c r="T86" s="77"/>
      <c r="U86" s="77"/>
      <c r="V86" s="77"/>
      <c r="W86" s="77"/>
      <c r="X86" s="77"/>
      <c r="Y86" s="77"/>
      <c r="Z86" s="77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V86" s="95"/>
      <c r="AW86" s="95"/>
      <c r="AX86" s="95"/>
    </row>
    <row r="87" spans="2:50" ht="30" customHeight="1" x14ac:dyDescent="0.2">
      <c r="B87" s="757"/>
      <c r="C87" s="460" t="s">
        <v>326</v>
      </c>
      <c r="D87" s="146" t="s">
        <v>146</v>
      </c>
      <c r="E87" s="146" t="s">
        <v>171</v>
      </c>
      <c r="F87" s="146" t="s">
        <v>199</v>
      </c>
      <c r="G87" s="146" t="s">
        <v>174</v>
      </c>
      <c r="H87" s="146" t="s">
        <v>249</v>
      </c>
      <c r="I87" s="474">
        <v>43228</v>
      </c>
      <c r="J87" s="475">
        <v>2000</v>
      </c>
      <c r="K87" s="476"/>
      <c r="L87" s="476"/>
      <c r="M87" s="146">
        <v>3.2</v>
      </c>
      <c r="N87" s="147">
        <f t="shared" si="0"/>
        <v>2000.0032000000001</v>
      </c>
      <c r="O87" s="148">
        <v>3</v>
      </c>
      <c r="P87" s="147">
        <f t="shared" si="5"/>
        <v>0.88975669159417592</v>
      </c>
      <c r="Q87" s="146" t="str">
        <f>Q86</f>
        <v>M-016</v>
      </c>
      <c r="R87" s="160" t="s">
        <v>197</v>
      </c>
      <c r="S87" s="77"/>
      <c r="T87" s="77"/>
      <c r="U87" s="77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V87" s="95"/>
      <c r="AW87" s="95"/>
      <c r="AX87" s="95"/>
    </row>
    <row r="88" spans="2:50" ht="30" customHeight="1" thickBot="1" x14ac:dyDescent="0.25">
      <c r="B88" s="758"/>
      <c r="C88" s="461" t="s">
        <v>327</v>
      </c>
      <c r="D88" s="150" t="s">
        <v>146</v>
      </c>
      <c r="E88" s="150" t="s">
        <v>171</v>
      </c>
      <c r="F88" s="150" t="s">
        <v>199</v>
      </c>
      <c r="G88" s="150" t="s">
        <v>172</v>
      </c>
      <c r="H88" s="150" t="s">
        <v>249</v>
      </c>
      <c r="I88" s="480">
        <v>43228</v>
      </c>
      <c r="J88" s="487">
        <v>5000</v>
      </c>
      <c r="K88" s="488"/>
      <c r="L88" s="488"/>
      <c r="M88" s="150">
        <v>7.9</v>
      </c>
      <c r="N88" s="151">
        <f t="shared" si="0"/>
        <v>5000.0078999999996</v>
      </c>
      <c r="O88" s="162">
        <v>8</v>
      </c>
      <c r="P88" s="151">
        <f t="shared" si="5"/>
        <v>0.88975669159417592</v>
      </c>
      <c r="Q88" s="150" t="str">
        <f t="shared" si="6"/>
        <v>M-016</v>
      </c>
      <c r="R88" s="163" t="s">
        <v>197</v>
      </c>
      <c r="U88" s="77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V88" s="95"/>
      <c r="AW88" s="95"/>
      <c r="AX88" s="95"/>
    </row>
    <row r="89" spans="2:50" ht="30" customHeight="1" x14ac:dyDescent="0.2">
      <c r="B89" s="96"/>
      <c r="U89" s="77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V89" s="95"/>
      <c r="AW89" s="95"/>
      <c r="AX89" s="95"/>
    </row>
    <row r="90" spans="2:50" ht="30" customHeight="1" x14ac:dyDescent="0.2">
      <c r="B90" s="96"/>
      <c r="U90" s="77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V90" s="95"/>
      <c r="AW90" s="95"/>
      <c r="AX90" s="95"/>
    </row>
    <row r="91" spans="2:50" ht="30" customHeight="1" x14ac:dyDescent="0.2">
      <c r="O91" s="77"/>
      <c r="P91" s="77"/>
      <c r="Q91" s="77"/>
      <c r="R91" s="77"/>
      <c r="S91" s="77"/>
      <c r="T91" s="77"/>
      <c r="U91" s="77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V91" s="95"/>
      <c r="AW91" s="95"/>
      <c r="AX91" s="95"/>
    </row>
    <row r="92" spans="2:50" ht="30" customHeight="1" x14ac:dyDescent="0.2">
      <c r="O92" s="77"/>
      <c r="P92" s="77"/>
      <c r="Q92" s="77"/>
      <c r="R92" s="77"/>
      <c r="S92" s="77"/>
      <c r="T92" s="77"/>
      <c r="U92" s="77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V92" s="95"/>
      <c r="AW92" s="95"/>
      <c r="AX92" s="95"/>
    </row>
    <row r="93" spans="2:50" ht="30" customHeight="1" x14ac:dyDescent="0.2">
      <c r="O93" s="77"/>
      <c r="P93" s="77"/>
      <c r="Q93" s="77"/>
      <c r="R93" s="77"/>
      <c r="S93" s="77"/>
      <c r="T93" s="77"/>
      <c r="U93" s="77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V93" s="95"/>
      <c r="AW93" s="95"/>
      <c r="AX93" s="95"/>
    </row>
    <row r="94" spans="2:50" ht="30" customHeight="1" x14ac:dyDescent="0.2">
      <c r="O94" s="77"/>
      <c r="P94" s="77"/>
      <c r="Q94" s="77"/>
      <c r="R94" s="77"/>
      <c r="S94" s="77"/>
      <c r="T94" s="77"/>
      <c r="U94" s="77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V94" s="95"/>
      <c r="AW94" s="95"/>
      <c r="AX94" s="95"/>
    </row>
    <row r="95" spans="2:50" ht="30" customHeight="1" thickBot="1" x14ac:dyDescent="0.25">
      <c r="O95" s="77"/>
      <c r="P95" s="77"/>
      <c r="Q95" s="77"/>
      <c r="R95" s="77"/>
      <c r="S95" s="77"/>
      <c r="T95" s="77"/>
      <c r="U95" s="77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V95" s="95"/>
      <c r="AW95" s="95"/>
      <c r="AX95" s="95"/>
    </row>
    <row r="96" spans="2:50" ht="30" customHeight="1" x14ac:dyDescent="0.2">
      <c r="B96" s="96"/>
      <c r="C96" s="724" t="s">
        <v>352</v>
      </c>
      <c r="D96" s="725"/>
      <c r="E96" s="725"/>
      <c r="F96" s="725"/>
      <c r="G96" s="725"/>
      <c r="H96" s="725"/>
      <c r="I96" s="725"/>
      <c r="J96" s="725"/>
      <c r="K96" s="725"/>
      <c r="L96" s="725"/>
      <c r="M96" s="725"/>
      <c r="N96" s="725"/>
      <c r="O96" s="725"/>
      <c r="P96" s="725"/>
      <c r="Q96" s="725"/>
      <c r="R96" s="725"/>
      <c r="S96" s="725"/>
      <c r="T96" s="726"/>
      <c r="U96" s="77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V96" s="95"/>
      <c r="AW96" s="95"/>
      <c r="AX96" s="95"/>
    </row>
    <row r="97" spans="1:50" ht="30" customHeight="1" thickBot="1" x14ac:dyDescent="0.25">
      <c r="B97" s="96"/>
      <c r="C97" s="727"/>
      <c r="D97" s="728"/>
      <c r="E97" s="728"/>
      <c r="F97" s="728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9"/>
      <c r="U97" s="77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V97" s="95"/>
      <c r="AW97" s="95"/>
      <c r="AX97" s="95"/>
    </row>
    <row r="98" spans="1:50" ht="30" customHeight="1" thickBot="1" x14ac:dyDescent="0.25">
      <c r="B98" s="96"/>
      <c r="C98" s="730" t="s">
        <v>269</v>
      </c>
      <c r="D98" s="731"/>
      <c r="E98" s="731"/>
      <c r="F98" s="731"/>
      <c r="G98" s="731"/>
      <c r="H98" s="731"/>
      <c r="I98" s="731"/>
      <c r="J98" s="731"/>
      <c r="K98" s="731"/>
      <c r="L98" s="731"/>
      <c r="M98" s="731"/>
      <c r="N98" s="731"/>
      <c r="O98" s="731"/>
      <c r="P98" s="731"/>
      <c r="Q98" s="731"/>
      <c r="R98" s="731"/>
      <c r="S98" s="731"/>
      <c r="T98" s="732"/>
      <c r="U98" s="77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V98" s="95"/>
      <c r="AW98" s="95"/>
      <c r="AX98" s="95"/>
    </row>
    <row r="99" spans="1:50" ht="30" customHeight="1" x14ac:dyDescent="0.2">
      <c r="B99" s="96"/>
      <c r="C99" s="95"/>
      <c r="D99" s="705" t="s">
        <v>3</v>
      </c>
      <c r="E99" s="697" t="s">
        <v>179</v>
      </c>
      <c r="F99" s="697" t="s">
        <v>180</v>
      </c>
      <c r="G99" s="697" t="s">
        <v>181</v>
      </c>
      <c r="H99" s="697" t="s">
        <v>182</v>
      </c>
      <c r="I99" s="697" t="s">
        <v>183</v>
      </c>
      <c r="J99" s="697" t="s">
        <v>184</v>
      </c>
      <c r="K99" s="697" t="s">
        <v>185</v>
      </c>
      <c r="L99" s="687" t="s">
        <v>186</v>
      </c>
      <c r="O99" s="686" t="s">
        <v>252</v>
      </c>
      <c r="P99" s="689" t="s">
        <v>183</v>
      </c>
      <c r="Q99" s="690"/>
      <c r="R99" s="691"/>
      <c r="S99" s="754" t="s">
        <v>185</v>
      </c>
      <c r="T99" s="687" t="s">
        <v>186</v>
      </c>
      <c r="U99" s="77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V99" s="95"/>
      <c r="AW99" s="95"/>
      <c r="AX99" s="95"/>
    </row>
    <row r="100" spans="1:50" ht="30" customHeight="1" thickBot="1" x14ac:dyDescent="0.25">
      <c r="B100" s="96"/>
      <c r="C100" s="97"/>
      <c r="D100" s="706"/>
      <c r="E100" s="698"/>
      <c r="F100" s="698"/>
      <c r="G100" s="698"/>
      <c r="H100" s="698"/>
      <c r="I100" s="698"/>
      <c r="J100" s="698"/>
      <c r="K100" s="698"/>
      <c r="L100" s="688"/>
      <c r="O100" s="686"/>
      <c r="P100" s="689"/>
      <c r="Q100" s="690"/>
      <c r="R100" s="691"/>
      <c r="S100" s="755"/>
      <c r="T100" s="688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V100" s="95"/>
      <c r="AW100" s="95"/>
      <c r="AX100" s="95"/>
    </row>
    <row r="101" spans="1:50" ht="30" customHeight="1" thickBot="1" x14ac:dyDescent="0.25">
      <c r="A101" s="98"/>
      <c r="B101" s="99"/>
      <c r="C101" s="100"/>
      <c r="D101" s="100"/>
      <c r="E101" s="100"/>
      <c r="F101" s="100"/>
      <c r="G101" s="100"/>
      <c r="H101" s="100"/>
      <c r="I101" s="101"/>
      <c r="J101" s="101"/>
      <c r="K101" s="101"/>
      <c r="L101" s="101"/>
      <c r="O101" s="102"/>
      <c r="P101" s="102"/>
      <c r="Q101" s="102"/>
      <c r="R101" s="102"/>
      <c r="S101" s="103"/>
      <c r="T101" s="10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V101" s="95"/>
      <c r="AW101" s="95"/>
      <c r="AX101" s="95"/>
    </row>
    <row r="102" spans="1:50" ht="30" customHeight="1" x14ac:dyDescent="0.2">
      <c r="A102" s="676" t="s">
        <v>225</v>
      </c>
      <c r="B102" s="692"/>
      <c r="C102" s="667" t="s">
        <v>227</v>
      </c>
      <c r="D102" s="743" t="s">
        <v>187</v>
      </c>
      <c r="E102" s="629" t="s">
        <v>206</v>
      </c>
      <c r="F102" s="382">
        <v>15.4</v>
      </c>
      <c r="G102" s="383">
        <v>0.1</v>
      </c>
      <c r="H102" s="384">
        <v>-0.1</v>
      </c>
      <c r="I102" s="385">
        <v>0.3</v>
      </c>
      <c r="J102" s="707">
        <v>2</v>
      </c>
      <c r="K102" s="753">
        <v>43606</v>
      </c>
      <c r="L102" s="746" t="s">
        <v>287</v>
      </c>
      <c r="O102" s="144"/>
      <c r="P102" s="577" t="s">
        <v>222</v>
      </c>
      <c r="Q102" s="578" t="s">
        <v>223</v>
      </c>
      <c r="R102" s="578" t="s">
        <v>224</v>
      </c>
      <c r="S102" s="733" t="s">
        <v>290</v>
      </c>
      <c r="T102" s="742" t="s">
        <v>291</v>
      </c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V102" s="95"/>
      <c r="AW102" s="95"/>
      <c r="AX102" s="95"/>
    </row>
    <row r="103" spans="1:50" ht="30" customHeight="1" x14ac:dyDescent="0.2">
      <c r="A103" s="693"/>
      <c r="B103" s="694"/>
      <c r="C103" s="668"/>
      <c r="D103" s="744"/>
      <c r="E103" s="630"/>
      <c r="F103" s="386">
        <v>24.7</v>
      </c>
      <c r="G103" s="387">
        <v>0.1</v>
      </c>
      <c r="H103" s="388">
        <v>0</v>
      </c>
      <c r="I103" s="389">
        <v>0.3</v>
      </c>
      <c r="J103" s="708"/>
      <c r="K103" s="712"/>
      <c r="L103" s="747"/>
      <c r="O103" s="625" t="s">
        <v>232</v>
      </c>
      <c r="P103" s="471">
        <f>MAX(I102:I104)</f>
        <v>0.3</v>
      </c>
      <c r="Q103" s="471">
        <f>MAX(I105:I107)</f>
        <v>1.7</v>
      </c>
      <c r="R103" s="471">
        <f>MAX(I108:I110)</f>
        <v>0.31</v>
      </c>
      <c r="S103" s="643"/>
      <c r="T103" s="617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V103" s="95"/>
      <c r="AW103" s="95"/>
      <c r="AX103" s="95"/>
    </row>
    <row r="104" spans="1:50" ht="30" customHeight="1" thickBot="1" x14ac:dyDescent="0.25">
      <c r="A104" s="695"/>
      <c r="B104" s="696"/>
      <c r="C104" s="668"/>
      <c r="D104" s="744"/>
      <c r="E104" s="630"/>
      <c r="F104" s="390">
        <v>29.4</v>
      </c>
      <c r="G104" s="391">
        <v>0.1</v>
      </c>
      <c r="H104" s="392">
        <v>0</v>
      </c>
      <c r="I104" s="393">
        <v>0.3</v>
      </c>
      <c r="J104" s="709"/>
      <c r="K104" s="713"/>
      <c r="L104" s="748"/>
      <c r="O104" s="626"/>
      <c r="P104" s="570"/>
      <c r="Q104" s="507"/>
      <c r="R104" s="507"/>
      <c r="S104" s="644"/>
      <c r="T104" s="618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V104" s="95"/>
      <c r="AW104" s="95"/>
      <c r="AX104" s="95"/>
    </row>
    <row r="105" spans="1:50" ht="30" customHeight="1" x14ac:dyDescent="0.2">
      <c r="A105" s="670" t="s">
        <v>226</v>
      </c>
      <c r="B105" s="682"/>
      <c r="C105" s="668"/>
      <c r="D105" s="744"/>
      <c r="E105" s="630"/>
      <c r="F105" s="382">
        <v>33.200000000000003</v>
      </c>
      <c r="G105" s="383">
        <v>0.1</v>
      </c>
      <c r="H105" s="383">
        <v>-3.2</v>
      </c>
      <c r="I105" s="394">
        <v>1.7</v>
      </c>
      <c r="J105" s="710">
        <v>2</v>
      </c>
      <c r="K105" s="711">
        <v>43608</v>
      </c>
      <c r="L105" s="749" t="s">
        <v>288</v>
      </c>
      <c r="O105" s="77"/>
      <c r="P105" s="77"/>
      <c r="Q105" s="77"/>
      <c r="R105" s="77"/>
      <c r="S105" s="77"/>
      <c r="T105" s="77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V105" s="95"/>
      <c r="AW105" s="95"/>
      <c r="AX105" s="95"/>
    </row>
    <row r="106" spans="1:50" ht="30" customHeight="1" x14ac:dyDescent="0.2">
      <c r="A106" s="672"/>
      <c r="B106" s="683"/>
      <c r="C106" s="668"/>
      <c r="D106" s="744"/>
      <c r="E106" s="630"/>
      <c r="F106" s="395">
        <v>51.2</v>
      </c>
      <c r="G106" s="387">
        <v>0.1</v>
      </c>
      <c r="H106" s="396">
        <v>-1.2</v>
      </c>
      <c r="I106" s="389">
        <v>1.7</v>
      </c>
      <c r="J106" s="708"/>
      <c r="K106" s="712"/>
      <c r="L106" s="747"/>
      <c r="O106" s="77"/>
      <c r="P106" s="77"/>
      <c r="Q106" s="77"/>
      <c r="R106" s="77"/>
      <c r="S106" s="77"/>
      <c r="T106" s="77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V106" s="95"/>
      <c r="AW106" s="95"/>
      <c r="AX106" s="95"/>
    </row>
    <row r="107" spans="1:50" ht="30" customHeight="1" thickBot="1" x14ac:dyDescent="0.25">
      <c r="A107" s="674"/>
      <c r="B107" s="684"/>
      <c r="C107" s="668"/>
      <c r="D107" s="744"/>
      <c r="E107" s="630"/>
      <c r="F107" s="397">
        <v>77.2</v>
      </c>
      <c r="G107" s="391">
        <v>0.1</v>
      </c>
      <c r="H107" s="398">
        <v>2.8</v>
      </c>
      <c r="I107" s="393">
        <v>1.7</v>
      </c>
      <c r="J107" s="709"/>
      <c r="K107" s="713"/>
      <c r="L107" s="748"/>
      <c r="O107" s="77"/>
      <c r="P107" s="77"/>
      <c r="Q107" s="77"/>
      <c r="R107" s="77"/>
      <c r="S107" s="77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V107" s="95"/>
      <c r="AW107" s="95"/>
      <c r="AX107" s="95"/>
    </row>
    <row r="108" spans="1:50" ht="30" customHeight="1" x14ac:dyDescent="0.2">
      <c r="A108" s="672" t="s">
        <v>253</v>
      </c>
      <c r="B108" s="683"/>
      <c r="C108" s="668"/>
      <c r="D108" s="744"/>
      <c r="E108" s="630"/>
      <c r="F108" s="382">
        <v>698.2</v>
      </c>
      <c r="G108" s="383">
        <v>0.1</v>
      </c>
      <c r="H108" s="573">
        <v>-1.002</v>
      </c>
      <c r="I108" s="394">
        <v>9.2999999999999999E-2</v>
      </c>
      <c r="J108" s="710">
        <v>2</v>
      </c>
      <c r="K108" s="711">
        <v>43600</v>
      </c>
      <c r="L108" s="750" t="s">
        <v>289</v>
      </c>
      <c r="O108" s="77"/>
      <c r="P108" s="77"/>
      <c r="Q108" s="77"/>
      <c r="R108" s="77"/>
      <c r="S108" s="77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V108" s="95"/>
      <c r="AW108" s="95"/>
      <c r="AX108" s="95"/>
    </row>
    <row r="109" spans="1:50" ht="30" customHeight="1" x14ac:dyDescent="0.2">
      <c r="A109" s="672"/>
      <c r="B109" s="683"/>
      <c r="C109" s="668"/>
      <c r="D109" s="744"/>
      <c r="E109" s="630"/>
      <c r="F109" s="386">
        <v>798.4</v>
      </c>
      <c r="G109" s="399">
        <v>0.1</v>
      </c>
      <c r="H109" s="399">
        <v>-0.77</v>
      </c>
      <c r="I109" s="389">
        <v>0.14000000000000001</v>
      </c>
      <c r="J109" s="708"/>
      <c r="K109" s="712"/>
      <c r="L109" s="751"/>
      <c r="O109" s="77"/>
      <c r="P109" s="77"/>
      <c r="Q109" s="77"/>
      <c r="R109" s="77"/>
      <c r="S109" s="77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V109" s="95"/>
      <c r="AW109" s="95"/>
      <c r="AX109" s="95"/>
    </row>
    <row r="110" spans="1:50" ht="30" customHeight="1" thickBot="1" x14ac:dyDescent="0.25">
      <c r="A110" s="674"/>
      <c r="B110" s="684"/>
      <c r="C110" s="669"/>
      <c r="D110" s="745"/>
      <c r="E110" s="631"/>
      <c r="F110" s="390">
        <v>848.7</v>
      </c>
      <c r="G110" s="398">
        <v>0.1</v>
      </c>
      <c r="H110" s="398">
        <v>-0.78</v>
      </c>
      <c r="I110" s="393">
        <v>0.31</v>
      </c>
      <c r="J110" s="714"/>
      <c r="K110" s="723"/>
      <c r="L110" s="752"/>
      <c r="O110" s="77"/>
      <c r="P110" s="77"/>
      <c r="Q110" s="77"/>
      <c r="R110" s="77"/>
      <c r="S110" s="77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V110" s="95"/>
      <c r="AW110" s="95"/>
      <c r="AX110" s="95"/>
    </row>
    <row r="111" spans="1:50" ht="30" customHeight="1" thickBot="1" x14ac:dyDescent="0.25">
      <c r="A111" s="105"/>
      <c r="B111" s="105"/>
      <c r="C111" s="106"/>
      <c r="D111" s="107"/>
      <c r="E111" s="108"/>
      <c r="F111" s="109"/>
      <c r="G111" s="106"/>
      <c r="H111" s="106"/>
      <c r="I111" s="106"/>
      <c r="J111" s="106"/>
      <c r="K111" s="110"/>
      <c r="L111" s="106"/>
      <c r="O111" s="77"/>
      <c r="P111" s="77"/>
      <c r="Q111" s="77"/>
      <c r="R111" s="77"/>
      <c r="S111" s="77"/>
      <c r="U111" s="77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</row>
    <row r="112" spans="1:50" ht="30" customHeight="1" thickBot="1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O112" s="77"/>
      <c r="P112" s="77"/>
      <c r="Q112" s="77"/>
      <c r="R112" s="77"/>
      <c r="S112" s="77"/>
      <c r="U112" s="77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</row>
    <row r="113" spans="1:50" ht="30" customHeight="1" x14ac:dyDescent="0.2">
      <c r="A113" s="699" t="s">
        <v>225</v>
      </c>
      <c r="B113" s="700"/>
      <c r="C113" s="667" t="s">
        <v>228</v>
      </c>
      <c r="D113" s="685" t="s">
        <v>187</v>
      </c>
      <c r="E113" s="629">
        <v>19506160802033</v>
      </c>
      <c r="F113" s="400">
        <v>15.5</v>
      </c>
      <c r="G113" s="383">
        <v>0.1</v>
      </c>
      <c r="H113" s="383">
        <v>-0.2</v>
      </c>
      <c r="I113" s="394">
        <v>0.3</v>
      </c>
      <c r="J113" s="655">
        <v>2</v>
      </c>
      <c r="K113" s="645">
        <v>43606</v>
      </c>
      <c r="L113" s="665" t="s">
        <v>292</v>
      </c>
      <c r="O113" s="111"/>
      <c r="P113" s="505" t="s">
        <v>222</v>
      </c>
      <c r="Q113" s="506" t="s">
        <v>223</v>
      </c>
      <c r="R113" s="506" t="s">
        <v>224</v>
      </c>
      <c r="S113" s="642" t="s">
        <v>295</v>
      </c>
      <c r="T113" s="616" t="s">
        <v>296</v>
      </c>
      <c r="U113" s="77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</row>
    <row r="114" spans="1:50" ht="30" customHeight="1" x14ac:dyDescent="0.2">
      <c r="A114" s="701"/>
      <c r="B114" s="702"/>
      <c r="C114" s="668"/>
      <c r="D114" s="662"/>
      <c r="E114" s="630"/>
      <c r="F114" s="386">
        <v>24.6</v>
      </c>
      <c r="G114" s="399">
        <v>0.1</v>
      </c>
      <c r="H114" s="399">
        <v>0.1</v>
      </c>
      <c r="I114" s="389">
        <v>0.3</v>
      </c>
      <c r="J114" s="633"/>
      <c r="K114" s="636"/>
      <c r="L114" s="639"/>
      <c r="O114" s="625" t="s">
        <v>221</v>
      </c>
      <c r="P114" s="471">
        <f>MAX(I113:I115)</f>
        <v>0.4</v>
      </c>
      <c r="Q114" s="575">
        <f>MAX(I116:I118)</f>
        <v>1.7</v>
      </c>
      <c r="R114" s="576">
        <f>MAX(I119:I121)</f>
        <v>0.56999999999999995</v>
      </c>
      <c r="S114" s="643"/>
      <c r="T114" s="617"/>
      <c r="U114" s="77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</row>
    <row r="115" spans="1:50" ht="30" customHeight="1" thickBot="1" x14ac:dyDescent="0.25">
      <c r="A115" s="703"/>
      <c r="B115" s="704"/>
      <c r="C115" s="668"/>
      <c r="D115" s="662"/>
      <c r="E115" s="630"/>
      <c r="F115" s="397">
        <v>33.9</v>
      </c>
      <c r="G115" s="398">
        <v>0.1</v>
      </c>
      <c r="H115" s="398">
        <v>0.3</v>
      </c>
      <c r="I115" s="393">
        <v>0.4</v>
      </c>
      <c r="J115" s="633"/>
      <c r="K115" s="636"/>
      <c r="L115" s="639"/>
      <c r="O115" s="626"/>
      <c r="P115" s="570"/>
      <c r="Q115" s="507"/>
      <c r="R115" s="507"/>
      <c r="S115" s="644"/>
      <c r="T115" s="618"/>
      <c r="U115" s="77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</row>
    <row r="116" spans="1:50" ht="30" customHeight="1" x14ac:dyDescent="0.2">
      <c r="A116" s="670" t="s">
        <v>226</v>
      </c>
      <c r="B116" s="682"/>
      <c r="C116" s="668"/>
      <c r="D116" s="662"/>
      <c r="E116" s="630"/>
      <c r="F116" s="382">
        <v>32.700000000000003</v>
      </c>
      <c r="G116" s="401">
        <v>0.1</v>
      </c>
      <c r="H116" s="401">
        <v>-2.7</v>
      </c>
      <c r="I116" s="402">
        <v>1.7</v>
      </c>
      <c r="J116" s="632">
        <v>2</v>
      </c>
      <c r="K116" s="635">
        <v>43608</v>
      </c>
      <c r="L116" s="649" t="s">
        <v>293</v>
      </c>
      <c r="O116" s="77"/>
      <c r="P116" s="77"/>
      <c r="Q116" s="77"/>
      <c r="R116" s="77"/>
      <c r="U116" s="77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</row>
    <row r="117" spans="1:50" ht="30" customHeight="1" x14ac:dyDescent="0.2">
      <c r="A117" s="672"/>
      <c r="B117" s="683"/>
      <c r="C117" s="668"/>
      <c r="D117" s="662"/>
      <c r="E117" s="630"/>
      <c r="F117" s="386">
        <v>50.7</v>
      </c>
      <c r="G117" s="403">
        <v>0.1</v>
      </c>
      <c r="H117" s="403">
        <v>-0.7</v>
      </c>
      <c r="I117" s="404">
        <v>1.7</v>
      </c>
      <c r="J117" s="633"/>
      <c r="K117" s="636"/>
      <c r="L117" s="639"/>
      <c r="O117" s="77"/>
      <c r="P117" s="77"/>
      <c r="Q117" s="77"/>
      <c r="R117" s="77"/>
      <c r="U117" s="77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</row>
    <row r="118" spans="1:50" ht="30" customHeight="1" thickBot="1" x14ac:dyDescent="0.25">
      <c r="A118" s="674"/>
      <c r="B118" s="684"/>
      <c r="C118" s="668"/>
      <c r="D118" s="662"/>
      <c r="E118" s="630"/>
      <c r="F118" s="397">
        <v>68.099999999999994</v>
      </c>
      <c r="G118" s="405">
        <v>0.1</v>
      </c>
      <c r="H118" s="405">
        <v>1.8</v>
      </c>
      <c r="I118" s="406">
        <v>1.7</v>
      </c>
      <c r="J118" s="633"/>
      <c r="K118" s="636"/>
      <c r="L118" s="639"/>
      <c r="O118" s="77"/>
      <c r="P118" s="77"/>
      <c r="Q118" s="77"/>
      <c r="R118" s="77"/>
      <c r="U118" s="77"/>
      <c r="V118" s="77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</row>
    <row r="119" spans="1:50" ht="30" customHeight="1" x14ac:dyDescent="0.2">
      <c r="A119" s="670" t="s">
        <v>253</v>
      </c>
      <c r="B119" s="682"/>
      <c r="C119" s="668"/>
      <c r="D119" s="662"/>
      <c r="E119" s="630"/>
      <c r="F119" s="400">
        <v>397.5</v>
      </c>
      <c r="G119" s="401">
        <v>0.1</v>
      </c>
      <c r="H119" s="508">
        <v>-1.67</v>
      </c>
      <c r="I119" s="509">
        <v>0.12</v>
      </c>
      <c r="J119" s="632">
        <v>2</v>
      </c>
      <c r="K119" s="635">
        <v>43587</v>
      </c>
      <c r="L119" s="638" t="s">
        <v>294</v>
      </c>
      <c r="O119" s="77"/>
      <c r="P119" s="77"/>
      <c r="Q119" s="77"/>
      <c r="R119" s="77"/>
      <c r="T119" s="112"/>
      <c r="U119" s="77"/>
      <c r="V119" s="77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</row>
    <row r="120" spans="1:50" ht="30" customHeight="1" x14ac:dyDescent="0.2">
      <c r="A120" s="672"/>
      <c r="B120" s="683"/>
      <c r="C120" s="668"/>
      <c r="D120" s="662"/>
      <c r="E120" s="630"/>
      <c r="F120" s="386">
        <v>798.5</v>
      </c>
      <c r="G120" s="403">
        <v>0.1</v>
      </c>
      <c r="H120" s="510">
        <v>-0.7</v>
      </c>
      <c r="I120" s="467">
        <v>0.27</v>
      </c>
      <c r="J120" s="633"/>
      <c r="K120" s="636"/>
      <c r="L120" s="639"/>
      <c r="O120" s="77"/>
      <c r="P120" s="77"/>
      <c r="Q120" s="77"/>
      <c r="R120" s="77"/>
      <c r="T120" s="93"/>
      <c r="U120" s="77"/>
      <c r="V120" s="77"/>
    </row>
    <row r="121" spans="1:50" ht="30" customHeight="1" thickBot="1" x14ac:dyDescent="0.25">
      <c r="A121" s="674"/>
      <c r="B121" s="684"/>
      <c r="C121" s="669"/>
      <c r="D121" s="663"/>
      <c r="E121" s="631"/>
      <c r="F121" s="397">
        <v>1099.5999999999999</v>
      </c>
      <c r="G121" s="405">
        <v>0.1</v>
      </c>
      <c r="H121" s="511">
        <v>-0.28999999999999998</v>
      </c>
      <c r="I121" s="468">
        <v>0.56999999999999995</v>
      </c>
      <c r="J121" s="634"/>
      <c r="K121" s="637"/>
      <c r="L121" s="640"/>
      <c r="O121" s="77"/>
      <c r="P121" s="77"/>
      <c r="Q121" s="77"/>
      <c r="R121" s="77"/>
      <c r="T121" s="93"/>
      <c r="U121" s="77"/>
      <c r="V121" s="77"/>
    </row>
    <row r="122" spans="1:50" ht="30" customHeight="1" thickBot="1" x14ac:dyDescent="0.25">
      <c r="A122" s="113"/>
      <c r="B122" s="114"/>
      <c r="C122" s="92"/>
      <c r="D122" s="115"/>
      <c r="E122" s="116"/>
      <c r="F122" s="92"/>
      <c r="G122" s="92"/>
      <c r="H122" s="92"/>
      <c r="I122" s="92"/>
      <c r="J122" s="92"/>
      <c r="K122" s="117"/>
      <c r="L122" s="118"/>
      <c r="O122" s="77"/>
      <c r="P122" s="77"/>
      <c r="Q122" s="77"/>
      <c r="R122" s="77"/>
      <c r="T122" s="93"/>
      <c r="U122" s="77"/>
      <c r="V122" s="77"/>
    </row>
    <row r="123" spans="1:50" ht="30" customHeight="1" thickBot="1" x14ac:dyDescent="0.25">
      <c r="A123" s="119"/>
      <c r="B123" s="102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O123" s="77"/>
      <c r="P123" s="77"/>
      <c r="Q123" s="77"/>
      <c r="R123" s="77"/>
      <c r="T123" s="93"/>
      <c r="U123" s="77"/>
      <c r="V123" s="77"/>
    </row>
    <row r="124" spans="1:50" ht="30" customHeight="1" x14ac:dyDescent="0.2">
      <c r="A124" s="676" t="s">
        <v>225</v>
      </c>
      <c r="B124" s="677"/>
      <c r="C124" s="667" t="s">
        <v>229</v>
      </c>
      <c r="D124" s="651" t="s">
        <v>187</v>
      </c>
      <c r="E124" s="629">
        <v>19406160802033</v>
      </c>
      <c r="F124" s="400">
        <v>15.3</v>
      </c>
      <c r="G124" s="383">
        <v>0.1</v>
      </c>
      <c r="H124" s="384">
        <v>-0.1</v>
      </c>
      <c r="I124" s="500">
        <v>0.3</v>
      </c>
      <c r="J124" s="655">
        <v>2</v>
      </c>
      <c r="K124" s="645">
        <v>43732</v>
      </c>
      <c r="L124" s="665" t="s">
        <v>331</v>
      </c>
      <c r="O124" s="579"/>
      <c r="P124" s="505" t="s">
        <v>222</v>
      </c>
      <c r="Q124" s="506" t="s">
        <v>223</v>
      </c>
      <c r="R124" s="506" t="s">
        <v>224</v>
      </c>
      <c r="S124" s="642" t="s">
        <v>334</v>
      </c>
      <c r="T124" s="616" t="s">
        <v>335</v>
      </c>
      <c r="U124" s="77"/>
      <c r="V124" s="77"/>
    </row>
    <row r="125" spans="1:50" ht="30" customHeight="1" x14ac:dyDescent="0.2">
      <c r="A125" s="678"/>
      <c r="B125" s="679"/>
      <c r="C125" s="668"/>
      <c r="D125" s="653"/>
      <c r="E125" s="630"/>
      <c r="F125" s="386">
        <v>24.8</v>
      </c>
      <c r="G125" s="399">
        <v>0.1</v>
      </c>
      <c r="H125" s="396">
        <v>0</v>
      </c>
      <c r="I125" s="501">
        <v>0.3</v>
      </c>
      <c r="J125" s="633"/>
      <c r="K125" s="636"/>
      <c r="L125" s="639"/>
      <c r="O125" s="627" t="s">
        <v>233</v>
      </c>
      <c r="P125" s="471">
        <f>MAX(I124:I126)</f>
        <v>0.3</v>
      </c>
      <c r="Q125" s="465">
        <f>MAX(I127:I129)</f>
        <v>1.7</v>
      </c>
      <c r="R125" s="465">
        <f>MAX(I130:I132)</f>
        <v>0.28999999999999998</v>
      </c>
      <c r="S125" s="643"/>
      <c r="T125" s="617"/>
      <c r="U125" s="77"/>
      <c r="V125" s="77"/>
    </row>
    <row r="126" spans="1:50" ht="30" customHeight="1" thickBot="1" x14ac:dyDescent="0.25">
      <c r="A126" s="680"/>
      <c r="B126" s="681"/>
      <c r="C126" s="668"/>
      <c r="D126" s="653"/>
      <c r="E126" s="630"/>
      <c r="F126" s="397">
        <v>29.6</v>
      </c>
      <c r="G126" s="398">
        <v>0.1</v>
      </c>
      <c r="H126" s="398">
        <v>0.1</v>
      </c>
      <c r="I126" s="393">
        <v>0.3</v>
      </c>
      <c r="J126" s="633"/>
      <c r="K126" s="636"/>
      <c r="L126" s="639"/>
      <c r="O126" s="628"/>
      <c r="P126" s="466"/>
      <c r="Q126" s="507"/>
      <c r="R126" s="507"/>
      <c r="S126" s="644"/>
      <c r="T126" s="618"/>
      <c r="U126" s="77"/>
      <c r="V126" s="77"/>
    </row>
    <row r="127" spans="1:50" ht="30" customHeight="1" x14ac:dyDescent="0.2">
      <c r="A127" s="670" t="s">
        <v>226</v>
      </c>
      <c r="B127" s="671"/>
      <c r="C127" s="668"/>
      <c r="D127" s="653"/>
      <c r="E127" s="630"/>
      <c r="F127" s="382">
        <v>32.299999999999997</v>
      </c>
      <c r="G127" s="383">
        <v>0.1</v>
      </c>
      <c r="H127" s="383">
        <v>-2.2999999999999998</v>
      </c>
      <c r="I127" s="394">
        <v>1.7</v>
      </c>
      <c r="J127" s="648">
        <v>2</v>
      </c>
      <c r="K127" s="635">
        <v>43733</v>
      </c>
      <c r="L127" s="649" t="s">
        <v>332</v>
      </c>
      <c r="O127" s="77"/>
      <c r="P127" s="77"/>
      <c r="Q127" s="77"/>
      <c r="R127" s="77"/>
      <c r="T127" s="93"/>
      <c r="U127" s="77"/>
      <c r="V127" s="77"/>
    </row>
    <row r="128" spans="1:50" ht="30" customHeight="1" x14ac:dyDescent="0.2">
      <c r="A128" s="672"/>
      <c r="B128" s="673"/>
      <c r="C128" s="668"/>
      <c r="D128" s="653"/>
      <c r="E128" s="630"/>
      <c r="F128" s="386">
        <v>50.6</v>
      </c>
      <c r="G128" s="399">
        <v>0.1</v>
      </c>
      <c r="H128" s="399">
        <v>-0.6</v>
      </c>
      <c r="I128" s="389">
        <v>1.7</v>
      </c>
      <c r="J128" s="633">
        <v>2</v>
      </c>
      <c r="K128" s="636"/>
      <c r="L128" s="639"/>
      <c r="O128" s="77"/>
      <c r="P128" s="77"/>
      <c r="Q128" s="77"/>
      <c r="R128" s="77"/>
      <c r="T128" s="93"/>
      <c r="U128" s="77"/>
      <c r="V128" s="77"/>
    </row>
    <row r="129" spans="1:22" ht="30" customHeight="1" thickBot="1" x14ac:dyDescent="0.25">
      <c r="A129" s="674"/>
      <c r="B129" s="675"/>
      <c r="C129" s="668"/>
      <c r="D129" s="653"/>
      <c r="E129" s="630"/>
      <c r="F129" s="397">
        <v>68.599999999999994</v>
      </c>
      <c r="G129" s="398">
        <v>0.1</v>
      </c>
      <c r="H129" s="398">
        <v>1.4</v>
      </c>
      <c r="I129" s="393">
        <v>1.7</v>
      </c>
      <c r="J129" s="633"/>
      <c r="K129" s="636"/>
      <c r="L129" s="639"/>
      <c r="O129" s="77"/>
      <c r="P129" s="77"/>
      <c r="Q129" s="77"/>
      <c r="R129" s="77"/>
      <c r="T129" s="93"/>
      <c r="U129" s="77"/>
      <c r="V129" s="77"/>
    </row>
    <row r="130" spans="1:22" ht="30" customHeight="1" x14ac:dyDescent="0.2">
      <c r="A130" s="670" t="s">
        <v>253</v>
      </c>
      <c r="B130" s="671"/>
      <c r="C130" s="668"/>
      <c r="D130" s="653"/>
      <c r="E130" s="630"/>
      <c r="F130" s="400">
        <v>497.8</v>
      </c>
      <c r="G130" s="383">
        <v>0.1</v>
      </c>
      <c r="H130" s="502">
        <v>-1.4</v>
      </c>
      <c r="I130" s="470">
        <v>0.17</v>
      </c>
      <c r="J130" s="648">
        <v>2</v>
      </c>
      <c r="K130" s="635">
        <v>43733</v>
      </c>
      <c r="L130" s="664" t="s">
        <v>333</v>
      </c>
      <c r="O130" s="77"/>
      <c r="P130" s="77"/>
      <c r="Q130" s="77"/>
      <c r="R130" s="77"/>
      <c r="T130" s="93"/>
      <c r="U130" s="77"/>
      <c r="V130" s="77"/>
    </row>
    <row r="131" spans="1:22" ht="30" customHeight="1" x14ac:dyDescent="0.2">
      <c r="A131" s="672"/>
      <c r="B131" s="673"/>
      <c r="C131" s="668"/>
      <c r="D131" s="653"/>
      <c r="E131" s="630"/>
      <c r="F131" s="386">
        <v>698.2</v>
      </c>
      <c r="G131" s="399">
        <v>0.1</v>
      </c>
      <c r="H131" s="503">
        <v>-0.92</v>
      </c>
      <c r="I131" s="467">
        <v>0.11</v>
      </c>
      <c r="J131" s="633">
        <v>2</v>
      </c>
      <c r="K131" s="636">
        <v>42671</v>
      </c>
      <c r="L131" s="639" t="s">
        <v>205</v>
      </c>
      <c r="O131" s="77"/>
      <c r="P131" s="77"/>
      <c r="Q131" s="77"/>
      <c r="R131" s="77"/>
      <c r="T131" s="93"/>
      <c r="U131" s="77"/>
      <c r="V131" s="77"/>
    </row>
    <row r="132" spans="1:22" ht="30" customHeight="1" thickBot="1" x14ac:dyDescent="0.25">
      <c r="A132" s="674"/>
      <c r="B132" s="675"/>
      <c r="C132" s="669"/>
      <c r="D132" s="654"/>
      <c r="E132" s="631"/>
      <c r="F132" s="397">
        <v>1098.8</v>
      </c>
      <c r="G132" s="398">
        <v>0.1</v>
      </c>
      <c r="H132" s="504">
        <v>-0.68</v>
      </c>
      <c r="I132" s="468">
        <v>0.28999999999999998</v>
      </c>
      <c r="J132" s="634"/>
      <c r="K132" s="637"/>
      <c r="L132" s="640"/>
      <c r="O132" s="77"/>
      <c r="P132" s="77"/>
      <c r="Q132" s="77"/>
      <c r="R132" s="77"/>
      <c r="T132" s="93"/>
      <c r="U132" s="77"/>
      <c r="V132" s="77"/>
    </row>
    <row r="133" spans="1:22" ht="30" customHeight="1" thickBot="1" x14ac:dyDescent="0.25">
      <c r="A133" s="98"/>
      <c r="B133" s="101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O133" s="77"/>
      <c r="P133" s="77"/>
      <c r="Q133" s="77"/>
      <c r="R133" s="77"/>
      <c r="T133" s="93"/>
      <c r="U133" s="77"/>
      <c r="V133" s="77"/>
    </row>
    <row r="134" spans="1:22" ht="30" customHeight="1" x14ac:dyDescent="0.2">
      <c r="A134" s="650" t="s">
        <v>225</v>
      </c>
      <c r="B134" s="651"/>
      <c r="C134" s="661" t="s">
        <v>230</v>
      </c>
      <c r="D134" s="651" t="s">
        <v>187</v>
      </c>
      <c r="E134" s="629" t="s">
        <v>203</v>
      </c>
      <c r="F134" s="382">
        <v>15.5</v>
      </c>
      <c r="G134" s="383">
        <v>0.1</v>
      </c>
      <c r="H134" s="384">
        <v>-0.2</v>
      </c>
      <c r="I134" s="407">
        <v>0.3</v>
      </c>
      <c r="J134" s="666">
        <v>2</v>
      </c>
      <c r="K134" s="645">
        <v>43599</v>
      </c>
      <c r="L134" s="665" t="s">
        <v>297</v>
      </c>
      <c r="O134" s="111"/>
      <c r="P134" s="505" t="s">
        <v>222</v>
      </c>
      <c r="Q134" s="506" t="s">
        <v>223</v>
      </c>
      <c r="R134" s="506" t="s">
        <v>224</v>
      </c>
      <c r="S134" s="642" t="s">
        <v>300</v>
      </c>
      <c r="T134" s="616" t="s">
        <v>301</v>
      </c>
      <c r="U134" s="77"/>
      <c r="V134" s="77"/>
    </row>
    <row r="135" spans="1:22" ht="30" customHeight="1" x14ac:dyDescent="0.2">
      <c r="A135" s="652"/>
      <c r="B135" s="653"/>
      <c r="C135" s="662"/>
      <c r="D135" s="653"/>
      <c r="E135" s="630"/>
      <c r="F135" s="386">
        <v>24.6</v>
      </c>
      <c r="G135" s="399">
        <v>0.1</v>
      </c>
      <c r="H135" s="396">
        <v>0.1</v>
      </c>
      <c r="I135" s="408">
        <v>0.3</v>
      </c>
      <c r="J135" s="659"/>
      <c r="K135" s="636"/>
      <c r="L135" s="639"/>
      <c r="O135" s="625" t="s">
        <v>219</v>
      </c>
      <c r="P135" s="574">
        <f>MAX(I134:I136)</f>
        <v>0.3</v>
      </c>
      <c r="Q135" s="569">
        <f>MAX(I137:I139)</f>
        <v>1.7</v>
      </c>
      <c r="R135" s="569">
        <f>MAX(I140:I142)</f>
        <v>0.34</v>
      </c>
      <c r="S135" s="643"/>
      <c r="T135" s="617"/>
      <c r="U135" s="77"/>
      <c r="V135" s="77"/>
    </row>
    <row r="136" spans="1:22" ht="30" customHeight="1" thickBot="1" x14ac:dyDescent="0.25">
      <c r="A136" s="652"/>
      <c r="B136" s="653"/>
      <c r="C136" s="662"/>
      <c r="D136" s="653"/>
      <c r="E136" s="630"/>
      <c r="F136" s="390">
        <v>29.2</v>
      </c>
      <c r="G136" s="398">
        <v>0.1</v>
      </c>
      <c r="H136" s="409">
        <v>0.3</v>
      </c>
      <c r="I136" s="410">
        <v>0.3</v>
      </c>
      <c r="J136" s="659">
        <v>1.96</v>
      </c>
      <c r="K136" s="636"/>
      <c r="L136" s="639"/>
      <c r="O136" s="626"/>
      <c r="P136" s="570"/>
      <c r="Q136" s="507"/>
      <c r="R136" s="507"/>
      <c r="S136" s="644"/>
      <c r="T136" s="618"/>
      <c r="U136" s="77"/>
      <c r="V136" s="77"/>
    </row>
    <row r="137" spans="1:22" ht="30" customHeight="1" x14ac:dyDescent="0.2">
      <c r="A137" s="646" t="s">
        <v>226</v>
      </c>
      <c r="B137" s="647"/>
      <c r="C137" s="662"/>
      <c r="D137" s="653"/>
      <c r="E137" s="630"/>
      <c r="F137" s="382">
        <v>33.6</v>
      </c>
      <c r="G137" s="383">
        <v>0.1</v>
      </c>
      <c r="H137" s="383">
        <v>-3.6</v>
      </c>
      <c r="I137" s="470">
        <v>1.7</v>
      </c>
      <c r="J137" s="658">
        <v>2</v>
      </c>
      <c r="K137" s="635">
        <v>43600</v>
      </c>
      <c r="L137" s="649" t="s">
        <v>298</v>
      </c>
      <c r="O137" s="77"/>
      <c r="P137" s="77"/>
      <c r="Q137" s="77"/>
      <c r="R137" s="77"/>
      <c r="T137" s="93"/>
      <c r="U137" s="77"/>
      <c r="V137" s="77"/>
    </row>
    <row r="138" spans="1:22" ht="30" customHeight="1" x14ac:dyDescent="0.2">
      <c r="A138" s="646"/>
      <c r="B138" s="647"/>
      <c r="C138" s="662"/>
      <c r="D138" s="653"/>
      <c r="E138" s="630"/>
      <c r="F138" s="386">
        <v>51.2</v>
      </c>
      <c r="G138" s="399">
        <v>0.1</v>
      </c>
      <c r="H138" s="399">
        <v>-1.2</v>
      </c>
      <c r="I138" s="467">
        <v>1.7</v>
      </c>
      <c r="J138" s="659">
        <v>1.96</v>
      </c>
      <c r="K138" s="636"/>
      <c r="L138" s="639"/>
      <c r="O138" s="77"/>
      <c r="P138" s="77"/>
      <c r="Q138" s="77"/>
      <c r="R138" s="77"/>
      <c r="T138" s="93"/>
      <c r="U138" s="77"/>
      <c r="V138" s="77"/>
    </row>
    <row r="139" spans="1:22" ht="30" customHeight="1" thickBot="1" x14ac:dyDescent="0.25">
      <c r="A139" s="646"/>
      <c r="B139" s="647"/>
      <c r="C139" s="662"/>
      <c r="D139" s="653"/>
      <c r="E139" s="630"/>
      <c r="F139" s="397">
        <v>68.5</v>
      </c>
      <c r="G139" s="398">
        <v>0.1</v>
      </c>
      <c r="H139" s="398">
        <v>1.5</v>
      </c>
      <c r="I139" s="468">
        <v>1.7</v>
      </c>
      <c r="J139" s="659"/>
      <c r="K139" s="636"/>
      <c r="L139" s="639"/>
      <c r="O139" s="77"/>
      <c r="P139" s="77"/>
      <c r="Q139" s="77"/>
      <c r="R139" s="77"/>
      <c r="T139" s="93"/>
      <c r="U139" s="77"/>
      <c r="V139" s="77"/>
    </row>
    <row r="140" spans="1:22" ht="30" customHeight="1" x14ac:dyDescent="0.2">
      <c r="A140" s="646" t="s">
        <v>253</v>
      </c>
      <c r="B140" s="647"/>
      <c r="C140" s="662"/>
      <c r="D140" s="653"/>
      <c r="E140" s="630"/>
      <c r="F140" s="382">
        <v>698.3</v>
      </c>
      <c r="G140" s="383">
        <v>0.1</v>
      </c>
      <c r="H140" s="383">
        <v>-0.92</v>
      </c>
      <c r="I140" s="470">
        <v>0.11</v>
      </c>
      <c r="J140" s="658">
        <v>2</v>
      </c>
      <c r="K140" s="635">
        <v>43600</v>
      </c>
      <c r="L140" s="664" t="s">
        <v>299</v>
      </c>
      <c r="O140" s="77"/>
      <c r="P140" s="77"/>
      <c r="Q140" s="77"/>
      <c r="R140" s="77"/>
      <c r="T140" s="78"/>
    </row>
    <row r="141" spans="1:22" ht="30" customHeight="1" x14ac:dyDescent="0.2">
      <c r="A141" s="646"/>
      <c r="B141" s="647"/>
      <c r="C141" s="662"/>
      <c r="D141" s="653"/>
      <c r="E141" s="630"/>
      <c r="F141" s="386">
        <v>798.4</v>
      </c>
      <c r="G141" s="399">
        <v>0.1</v>
      </c>
      <c r="H141" s="503">
        <v>-0.82099999999999995</v>
      </c>
      <c r="I141" s="467">
        <v>8.7999999999999995E-2</v>
      </c>
      <c r="J141" s="659">
        <v>2</v>
      </c>
      <c r="K141" s="636">
        <v>42625</v>
      </c>
      <c r="L141" s="639" t="s">
        <v>204</v>
      </c>
      <c r="O141" s="77"/>
      <c r="P141" s="77"/>
      <c r="Q141" s="77"/>
      <c r="R141" s="77"/>
      <c r="T141" s="78"/>
    </row>
    <row r="142" spans="1:22" ht="30" customHeight="1" thickBot="1" x14ac:dyDescent="0.25">
      <c r="A142" s="656"/>
      <c r="B142" s="657"/>
      <c r="C142" s="663"/>
      <c r="D142" s="654"/>
      <c r="E142" s="631"/>
      <c r="F142" s="397">
        <v>848.7</v>
      </c>
      <c r="G142" s="398">
        <v>0.1</v>
      </c>
      <c r="H142" s="398">
        <v>-0.75</v>
      </c>
      <c r="I142" s="468">
        <v>0.34</v>
      </c>
      <c r="J142" s="660"/>
      <c r="K142" s="637"/>
      <c r="L142" s="640"/>
      <c r="O142" s="77"/>
      <c r="P142" s="77"/>
      <c r="Q142" s="77"/>
      <c r="R142" s="77"/>
      <c r="T142" s="78"/>
    </row>
    <row r="143" spans="1:22" ht="30" customHeight="1" thickBot="1" x14ac:dyDescent="0.25">
      <c r="A143" s="120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O143" s="77"/>
      <c r="P143" s="77"/>
      <c r="Q143" s="77"/>
      <c r="R143" s="77"/>
      <c r="T143" s="78"/>
    </row>
    <row r="144" spans="1:22" ht="30" customHeight="1" x14ac:dyDescent="0.2">
      <c r="A144" s="650" t="s">
        <v>225</v>
      </c>
      <c r="B144" s="651"/>
      <c r="C144" s="661" t="s">
        <v>231</v>
      </c>
      <c r="D144" s="651" t="s">
        <v>187</v>
      </c>
      <c r="E144" s="641" t="s">
        <v>200</v>
      </c>
      <c r="F144" s="382">
        <v>15.4</v>
      </c>
      <c r="G144" s="383">
        <v>0.1</v>
      </c>
      <c r="H144" s="384">
        <v>-0.1</v>
      </c>
      <c r="I144" s="407">
        <v>0.3</v>
      </c>
      <c r="J144" s="655">
        <v>2</v>
      </c>
      <c r="K144" s="645">
        <v>43599</v>
      </c>
      <c r="L144" s="665" t="s">
        <v>302</v>
      </c>
      <c r="O144" s="111"/>
      <c r="P144" s="505" t="s">
        <v>222</v>
      </c>
      <c r="Q144" s="506" t="s">
        <v>223</v>
      </c>
      <c r="R144" s="506" t="s">
        <v>224</v>
      </c>
      <c r="S144" s="642" t="s">
        <v>305</v>
      </c>
      <c r="T144" s="616" t="s">
        <v>306</v>
      </c>
    </row>
    <row r="145" spans="1:20" ht="30" customHeight="1" x14ac:dyDescent="0.2">
      <c r="A145" s="652"/>
      <c r="B145" s="653"/>
      <c r="C145" s="662"/>
      <c r="D145" s="653"/>
      <c r="E145" s="630"/>
      <c r="F145" s="395">
        <v>24.7</v>
      </c>
      <c r="G145" s="399">
        <v>0.1</v>
      </c>
      <c r="H145" s="396">
        <v>0</v>
      </c>
      <c r="I145" s="408">
        <v>0.3</v>
      </c>
      <c r="J145" s="633"/>
      <c r="K145" s="636"/>
      <c r="L145" s="639"/>
      <c r="O145" s="625" t="s">
        <v>234</v>
      </c>
      <c r="P145" s="574">
        <f>MAX(I144:I146)</f>
        <v>0.3</v>
      </c>
      <c r="Q145" s="569">
        <f>MAX(I147:I149)</f>
        <v>1.7</v>
      </c>
      <c r="R145" s="569">
        <f>MAX(I150:I152)</f>
        <v>0.11</v>
      </c>
      <c r="S145" s="643"/>
      <c r="T145" s="617"/>
    </row>
    <row r="146" spans="1:20" ht="30" customHeight="1" thickBot="1" x14ac:dyDescent="0.25">
      <c r="A146" s="652"/>
      <c r="B146" s="653"/>
      <c r="C146" s="662"/>
      <c r="D146" s="653"/>
      <c r="E146" s="630"/>
      <c r="F146" s="390">
        <v>29.4</v>
      </c>
      <c r="G146" s="398">
        <v>0.1</v>
      </c>
      <c r="H146" s="409">
        <v>0.1</v>
      </c>
      <c r="I146" s="411">
        <v>0.3</v>
      </c>
      <c r="J146" s="633"/>
      <c r="K146" s="636"/>
      <c r="L146" s="639"/>
      <c r="O146" s="626"/>
      <c r="P146" s="570"/>
      <c r="Q146" s="507"/>
      <c r="R146" s="507"/>
      <c r="S146" s="644"/>
      <c r="T146" s="618"/>
    </row>
    <row r="147" spans="1:20" ht="30" customHeight="1" x14ac:dyDescent="0.2">
      <c r="A147" s="646" t="s">
        <v>226</v>
      </c>
      <c r="B147" s="647"/>
      <c r="C147" s="662"/>
      <c r="D147" s="653"/>
      <c r="E147" s="630"/>
      <c r="F147" s="382">
        <v>33.6</v>
      </c>
      <c r="G147" s="383">
        <v>0.1</v>
      </c>
      <c r="H147" s="383">
        <v>-3.6</v>
      </c>
      <c r="I147" s="470">
        <v>1.7</v>
      </c>
      <c r="J147" s="648">
        <v>2</v>
      </c>
      <c r="K147" s="635">
        <v>43600</v>
      </c>
      <c r="L147" s="649" t="s">
        <v>303</v>
      </c>
      <c r="O147" s="77"/>
      <c r="P147" s="77"/>
      <c r="Q147" s="77"/>
      <c r="R147" s="77"/>
      <c r="T147" s="78"/>
    </row>
    <row r="148" spans="1:20" ht="30" customHeight="1" x14ac:dyDescent="0.2">
      <c r="A148" s="646"/>
      <c r="B148" s="647"/>
      <c r="C148" s="662"/>
      <c r="D148" s="653"/>
      <c r="E148" s="630"/>
      <c r="F148" s="386">
        <v>51.2</v>
      </c>
      <c r="G148" s="399">
        <v>0.1</v>
      </c>
      <c r="H148" s="399">
        <v>-1.2</v>
      </c>
      <c r="I148" s="469">
        <v>1.7</v>
      </c>
      <c r="J148" s="633"/>
      <c r="K148" s="636"/>
      <c r="L148" s="639"/>
      <c r="O148" s="77"/>
      <c r="P148" s="77"/>
      <c r="Q148" s="77"/>
      <c r="R148" s="77"/>
      <c r="T148" s="78"/>
    </row>
    <row r="149" spans="1:20" ht="30" customHeight="1" thickBot="1" x14ac:dyDescent="0.25">
      <c r="A149" s="646"/>
      <c r="B149" s="647"/>
      <c r="C149" s="662"/>
      <c r="D149" s="653"/>
      <c r="E149" s="630"/>
      <c r="F149" s="397">
        <v>68.3</v>
      </c>
      <c r="G149" s="398">
        <v>0.1</v>
      </c>
      <c r="H149" s="398">
        <v>1.7</v>
      </c>
      <c r="I149" s="412">
        <v>1.7</v>
      </c>
      <c r="J149" s="633"/>
      <c r="K149" s="636"/>
      <c r="L149" s="639"/>
      <c r="O149" s="77"/>
      <c r="P149" s="77"/>
      <c r="Q149" s="77"/>
      <c r="R149" s="77"/>
      <c r="T149" s="78"/>
    </row>
    <row r="150" spans="1:20" ht="30" customHeight="1" x14ac:dyDescent="0.2">
      <c r="A150" s="646" t="s">
        <v>253</v>
      </c>
      <c r="B150" s="647"/>
      <c r="C150" s="662"/>
      <c r="D150" s="653"/>
      <c r="E150" s="630"/>
      <c r="F150" s="400">
        <v>698.2</v>
      </c>
      <c r="G150" s="383">
        <v>0.1</v>
      </c>
      <c r="H150" s="383">
        <v>-0.99</v>
      </c>
      <c r="I150" s="470">
        <v>6.8000000000000005E-2</v>
      </c>
      <c r="J150" s="658">
        <v>1.96</v>
      </c>
      <c r="K150" s="635">
        <v>43600</v>
      </c>
      <c r="L150" s="664" t="s">
        <v>304</v>
      </c>
      <c r="O150" s="78"/>
      <c r="T150" s="78"/>
    </row>
    <row r="151" spans="1:20" ht="30" customHeight="1" x14ac:dyDescent="0.2">
      <c r="A151" s="646"/>
      <c r="B151" s="647"/>
      <c r="C151" s="662"/>
      <c r="D151" s="653"/>
      <c r="E151" s="630"/>
      <c r="F151" s="386">
        <v>751.8</v>
      </c>
      <c r="G151" s="399">
        <v>0.1</v>
      </c>
      <c r="H151" s="503">
        <v>-0.88</v>
      </c>
      <c r="I151" s="467">
        <v>8.6999999999999994E-2</v>
      </c>
      <c r="J151" s="659">
        <v>1.96</v>
      </c>
      <c r="K151" s="636">
        <v>42586</v>
      </c>
      <c r="L151" s="639" t="s">
        <v>201</v>
      </c>
      <c r="O151" s="78"/>
      <c r="T151" s="78"/>
    </row>
    <row r="152" spans="1:20" ht="30" customHeight="1" thickBot="1" x14ac:dyDescent="0.25">
      <c r="A152" s="656"/>
      <c r="B152" s="657"/>
      <c r="C152" s="663"/>
      <c r="D152" s="654"/>
      <c r="E152" s="631"/>
      <c r="F152" s="397">
        <v>798.4</v>
      </c>
      <c r="G152" s="398">
        <v>0.1</v>
      </c>
      <c r="H152" s="398">
        <v>-0.73</v>
      </c>
      <c r="I152" s="468">
        <v>0.11</v>
      </c>
      <c r="J152" s="660">
        <v>2</v>
      </c>
      <c r="K152" s="637">
        <v>42625</v>
      </c>
      <c r="L152" s="640" t="s">
        <v>202</v>
      </c>
      <c r="O152" s="78"/>
      <c r="T152" s="78"/>
    </row>
    <row r="153" spans="1:20" ht="30" customHeight="1" thickBot="1" x14ac:dyDescent="0.25"/>
    <row r="154" spans="1:20" ht="30" customHeight="1" thickBot="1" x14ac:dyDescent="0.25">
      <c r="A154" s="619" t="s">
        <v>254</v>
      </c>
      <c r="B154" s="620"/>
      <c r="C154" s="620"/>
      <c r="D154" s="620"/>
      <c r="E154" s="620"/>
      <c r="F154" s="621"/>
      <c r="H154" s="619" t="s">
        <v>192</v>
      </c>
      <c r="I154" s="620"/>
      <c r="J154" s="620"/>
      <c r="K154" s="621"/>
    </row>
    <row r="155" spans="1:20" ht="30" customHeight="1" thickBot="1" x14ac:dyDescent="0.25">
      <c r="A155" s="317" t="s">
        <v>105</v>
      </c>
      <c r="B155" s="775" t="s">
        <v>286</v>
      </c>
      <c r="C155" s="776"/>
      <c r="D155" s="776"/>
      <c r="E155" s="776"/>
      <c r="F155" s="777"/>
      <c r="H155" s="622" t="s">
        <v>275</v>
      </c>
      <c r="I155" s="623"/>
      <c r="J155" s="623"/>
      <c r="K155" s="624"/>
    </row>
    <row r="156" spans="1:20" ht="30" customHeight="1" x14ac:dyDescent="0.2">
      <c r="A156" s="145"/>
      <c r="B156" s="778"/>
      <c r="C156" s="778"/>
      <c r="D156" s="779"/>
      <c r="E156" s="779"/>
      <c r="F156" s="318"/>
      <c r="H156" s="121">
        <v>5</v>
      </c>
      <c r="I156" s="122" t="s">
        <v>153</v>
      </c>
      <c r="J156" s="123">
        <v>8200</v>
      </c>
      <c r="K156" s="91"/>
    </row>
    <row r="157" spans="1:20" ht="30" customHeight="1" x14ac:dyDescent="0.2">
      <c r="A157" s="126" t="s">
        <v>175</v>
      </c>
      <c r="B157" s="772" t="s">
        <v>176</v>
      </c>
      <c r="C157" s="772"/>
      <c r="D157" s="773" t="s">
        <v>336</v>
      </c>
      <c r="E157" s="773"/>
      <c r="F157" s="370" t="s">
        <v>268</v>
      </c>
      <c r="H157" s="334">
        <v>7.8E-2</v>
      </c>
      <c r="I157" s="124"/>
      <c r="J157" s="335">
        <v>5.5999999999999997E-6</v>
      </c>
      <c r="K157" s="125"/>
    </row>
    <row r="158" spans="1:20" ht="30" customHeight="1" thickBot="1" x14ac:dyDescent="0.25">
      <c r="A158" s="126" t="s">
        <v>177</v>
      </c>
      <c r="B158" s="772" t="s">
        <v>178</v>
      </c>
      <c r="C158" s="772"/>
      <c r="D158" s="773" t="s">
        <v>337</v>
      </c>
      <c r="E158" s="773"/>
      <c r="F158" s="370" t="s">
        <v>268</v>
      </c>
    </row>
    <row r="159" spans="1:20" ht="42.75" customHeight="1" thickBot="1" x14ac:dyDescent="0.25">
      <c r="A159" s="127" t="s">
        <v>343</v>
      </c>
      <c r="B159" s="774" t="s">
        <v>344</v>
      </c>
      <c r="C159" s="774"/>
      <c r="D159" s="774" t="s">
        <v>268</v>
      </c>
      <c r="E159" s="774"/>
      <c r="F159" s="371" t="s">
        <v>268</v>
      </c>
      <c r="G159" s="372" t="s">
        <v>252</v>
      </c>
      <c r="H159" s="373" t="str">
        <f>D99</f>
        <v>Fabricante</v>
      </c>
      <c r="I159" s="374" t="str">
        <f>E99</f>
        <v>Identificación / Serie</v>
      </c>
      <c r="J159" s="374" t="str">
        <f>S99</f>
        <v>Fecha de Calibración</v>
      </c>
      <c r="K159" s="374" t="str">
        <f>T99</f>
        <v>Trazabilidad y numero</v>
      </c>
      <c r="L159" s="374" t="s">
        <v>222</v>
      </c>
      <c r="M159" s="374" t="s">
        <v>223</v>
      </c>
      <c r="N159" s="374" t="s">
        <v>224</v>
      </c>
      <c r="O159" s="374" t="s">
        <v>262</v>
      </c>
      <c r="P159" s="374" t="s">
        <v>263</v>
      </c>
      <c r="Q159" s="374" t="s">
        <v>264</v>
      </c>
      <c r="R159" s="374" t="s">
        <v>265</v>
      </c>
      <c r="S159" s="374" t="s">
        <v>266</v>
      </c>
      <c r="T159" s="375" t="s">
        <v>267</v>
      </c>
    </row>
    <row r="160" spans="1:20" ht="50.1" customHeight="1" thickBot="1" x14ac:dyDescent="0.25">
      <c r="G160" s="330"/>
      <c r="H160" s="331"/>
      <c r="I160" s="331"/>
      <c r="J160" s="331"/>
      <c r="K160" s="331"/>
      <c r="L160" s="331"/>
      <c r="M160" s="331"/>
      <c r="N160" s="331"/>
      <c r="O160" s="331"/>
      <c r="P160" s="332"/>
      <c r="Q160" s="332"/>
      <c r="R160" s="332"/>
      <c r="S160" s="332"/>
      <c r="T160" s="131"/>
    </row>
    <row r="161" spans="7:20" ht="50.1" customHeight="1" x14ac:dyDescent="0.2">
      <c r="G161" s="548" t="str">
        <f>O103</f>
        <v>V-002</v>
      </c>
      <c r="H161" s="462" t="str">
        <f>D102</f>
        <v>Lufft Opus 20</v>
      </c>
      <c r="I161" s="549" t="str">
        <f>E102</f>
        <v>0,23.0714.0802.024</v>
      </c>
      <c r="J161" s="545" t="str">
        <f>S102</f>
        <v>21/05/2019 / - 23/05/2019 -    15/05/2019</v>
      </c>
      <c r="K161" s="505" t="str">
        <f>T102</f>
        <v>INM  3998- 4006-2313</v>
      </c>
      <c r="L161" s="462">
        <f>P103</f>
        <v>0.3</v>
      </c>
      <c r="M161" s="462">
        <f>Q103</f>
        <v>1.7</v>
      </c>
      <c r="N161" s="462">
        <f>R103</f>
        <v>0.31</v>
      </c>
      <c r="O161" s="463">
        <f>SLOPE(H102:H104,F102:F104)</f>
        <v>7.6498785212423676E-3</v>
      </c>
      <c r="P161" s="463">
        <f>INTERCEPT(H102:H104,F102:F104)</f>
        <v>-0.21055551907544817</v>
      </c>
      <c r="Q161" s="463">
        <f>SLOPE(H105:H107,F105:F107)</f>
        <v>0.13760217983651227</v>
      </c>
      <c r="R161" s="463">
        <f>INTERCEPT(H105:H107,F105:F107)</f>
        <v>-7.9455040871934619</v>
      </c>
      <c r="S161" s="463">
        <f>SLOPE(H108:H110,F108:F110)</f>
        <v>1.5943723491910079E-3</v>
      </c>
      <c r="T161" s="550">
        <f>INTERCEPT(H108:H110,F108:F110)</f>
        <v>-2.0970938235192236</v>
      </c>
    </row>
    <row r="162" spans="7:20" ht="50.1" customHeight="1" x14ac:dyDescent="0.2">
      <c r="G162" s="551" t="str">
        <f>O135</f>
        <v>M-010</v>
      </c>
      <c r="H162" s="472" t="str">
        <f>D134</f>
        <v>Lufft Opus 20</v>
      </c>
      <c r="I162" s="552" t="str">
        <f>E134</f>
        <v>0,26.0714.0802.024</v>
      </c>
      <c r="J162" s="546" t="str">
        <f>S134</f>
        <v>14/05/2019- 15/05/2019    15/05/2019</v>
      </c>
      <c r="K162" s="471" t="str">
        <f>T134</f>
        <v>INM 3985 - INM 3987 -   INM 2314</v>
      </c>
      <c r="L162" s="553">
        <f>P135</f>
        <v>0.3</v>
      </c>
      <c r="M162" s="553">
        <f>Q135</f>
        <v>1.7</v>
      </c>
      <c r="N162" s="554">
        <f>R135</f>
        <v>0.34</v>
      </c>
      <c r="O162" s="464">
        <f>SLOPE(H134:H136,F134:F136)</f>
        <v>3.6000822875951452E-2</v>
      </c>
      <c r="P162" s="464">
        <f>INTERCEPT(H134:H136,F134:F136)</f>
        <v>-0.76495234176781179</v>
      </c>
      <c r="Q162" s="464">
        <f>SLOPE(H137:H139,F137:F139)</f>
        <v>0.14610357623723358</v>
      </c>
      <c r="R162" s="464">
        <f>INTERCEPT(H137:H139,F137:F139)</f>
        <v>-8.5658927457226355</v>
      </c>
      <c r="S162" s="464">
        <f>SLOPE(H140:H142,F140:F142)</f>
        <v>1.1102903418968183E-3</v>
      </c>
      <c r="T162" s="555">
        <f>INTERCEPT(H140:H142,F140:F142)</f>
        <v>-1.6983583226282657</v>
      </c>
    </row>
    <row r="163" spans="7:20" ht="50.1" customHeight="1" x14ac:dyDescent="0.2">
      <c r="G163" s="551" t="str">
        <f>O145</f>
        <v>M-011</v>
      </c>
      <c r="H163" s="472" t="str">
        <f>D144</f>
        <v>Lufft Opus 20</v>
      </c>
      <c r="I163" s="556" t="str">
        <f>E144</f>
        <v>0,22.0714.0802.024</v>
      </c>
      <c r="J163" s="546" t="str">
        <f>S144</f>
        <v>14/05/2019 -/  15/05/2019 -   15/05/2019</v>
      </c>
      <c r="K163" s="471" t="str">
        <f>T144</f>
        <v>INM-39864-INM 3988-INM 2315</v>
      </c>
      <c r="L163" s="553">
        <f>P145</f>
        <v>0.3</v>
      </c>
      <c r="M163" s="553">
        <f>Q145</f>
        <v>1.7</v>
      </c>
      <c r="N163" s="554">
        <f>R145</f>
        <v>0.11</v>
      </c>
      <c r="O163" s="464">
        <f>SLOPE(H144:H146,F144:F146)</f>
        <v>1.3789480596230877E-2</v>
      </c>
      <c r="P163" s="464">
        <f>INTERCEPT(H144:H146,F144:F146)</f>
        <v>-0.31945630047934864</v>
      </c>
      <c r="Q163" s="464">
        <f>SLOPE(H147:H149,F147:F149)</f>
        <v>0.15265797836413364</v>
      </c>
      <c r="R163" s="464">
        <f>INTERCEPT(H147:H149,F147:F149)</f>
        <v>-8.8239788291829537</v>
      </c>
      <c r="S163" s="464">
        <f>SLOPE(H150:H152,F150:F152)</f>
        <v>2.5813149339457058E-3</v>
      </c>
      <c r="T163" s="555">
        <f>INTERCEPT(H150:H152,F150:F152)</f>
        <v>-2.8012761658278418</v>
      </c>
    </row>
    <row r="164" spans="7:20" ht="50.1" customHeight="1" x14ac:dyDescent="0.2">
      <c r="G164" s="551" t="str">
        <f>O114</f>
        <v xml:space="preserve">M-012  </v>
      </c>
      <c r="H164" s="472" t="str">
        <f>D113</f>
        <v>Lufft Opus 20</v>
      </c>
      <c r="I164" s="552">
        <f>E113</f>
        <v>19506160802033</v>
      </c>
      <c r="J164" s="546" t="str">
        <f>S113</f>
        <v>21/05/2019 /- 23/05/2019 -/  02/05/2019</v>
      </c>
      <c r="K164" s="471" t="str">
        <f>T113</f>
        <v>INM-3997, INM 4005 - INM 2316</v>
      </c>
      <c r="L164" s="472">
        <f>P114</f>
        <v>0.4</v>
      </c>
      <c r="M164" s="472">
        <f>Q114</f>
        <v>1.7</v>
      </c>
      <c r="N164" s="472">
        <f>R114</f>
        <v>0.56999999999999995</v>
      </c>
      <c r="O164" s="464">
        <f>SLOPE(H113:H115,F113:F115)</f>
        <v>2.7153152443586816E-2</v>
      </c>
      <c r="P164" s="464">
        <f>INTERCEPT(H113:H115,F113:F115)</f>
        <v>-0.60311109360847481</v>
      </c>
      <c r="Q164" s="464">
        <f>SLOPE(H116:H118,F116:F118)</f>
        <v>0.12702668198646755</v>
      </c>
      <c r="R164" s="464">
        <f>INTERCEPT(H116:H118,F116:F118)</f>
        <v>-6.9481807736499448</v>
      </c>
      <c r="S164" s="464">
        <f>SLOPE(H119:H121,F119:F121)</f>
        <v>1.9899325989336312E-3</v>
      </c>
      <c r="T164" s="555">
        <f>INTERCEPT(H119:H121,F119:F121)</f>
        <v>-2.4093630913706812</v>
      </c>
    </row>
    <row r="165" spans="7:20" ht="50.1" customHeight="1" thickBot="1" x14ac:dyDescent="0.25">
      <c r="G165" s="557" t="str">
        <f>O125</f>
        <v xml:space="preserve">M-013  </v>
      </c>
      <c r="H165" s="558" t="str">
        <f>D124</f>
        <v>Lufft Opus 20</v>
      </c>
      <c r="I165" s="559">
        <f>E124</f>
        <v>19406160802033</v>
      </c>
      <c r="J165" s="547" t="str">
        <f>S124</f>
        <v>2019-09-24 - / 2019-09-25 -    2019-08-25</v>
      </c>
      <c r="K165" s="560" t="str">
        <f>T124</f>
        <v>INM 4216 - INM 4217 -  INM 2346</v>
      </c>
      <c r="L165" s="558">
        <f>P125</f>
        <v>0.3</v>
      </c>
      <c r="M165" s="558">
        <f>Q125</f>
        <v>1.7</v>
      </c>
      <c r="N165" s="558">
        <f>R125</f>
        <v>0.28999999999999998</v>
      </c>
      <c r="O165" s="561">
        <f>SLOPE(H124:H126,F124:F126)</f>
        <v>1.3499905595065769E-2</v>
      </c>
      <c r="P165" s="561">
        <f>INTERCEPT(H124:H126,F124:F126)</f>
        <v>-0.31364780665869468</v>
      </c>
      <c r="Q165" s="561">
        <f>SLOPE(H127:H129,F127:F129)</f>
        <v>0.101903287496585</v>
      </c>
      <c r="R165" s="561">
        <f>INTERCEPT(H127:H129,F127:F129)</f>
        <v>-5.6461160185775423</v>
      </c>
      <c r="S165" s="561">
        <f>SLOPE(H130:H132,F130:F132)</f>
        <v>1.1125130090065254E-3</v>
      </c>
      <c r="T165" s="562">
        <f>INTERCEPT(H130:H132,F130:F132)</f>
        <v>-1.8509982843560584</v>
      </c>
    </row>
    <row r="199" spans="64:67" ht="35.1" customHeight="1" x14ac:dyDescent="0.25">
      <c r="BL199" s="128"/>
      <c r="BM199" s="128"/>
      <c r="BN199" s="128"/>
      <c r="BO199" s="128"/>
    </row>
    <row r="200" spans="64:67" ht="35.1" customHeight="1" x14ac:dyDescent="0.25">
      <c r="BL200" s="128"/>
      <c r="BM200" s="128"/>
      <c r="BN200" s="128"/>
      <c r="BO200" s="128"/>
    </row>
    <row r="201" spans="64:67" ht="35.1" customHeight="1" x14ac:dyDescent="0.25">
      <c r="BL201" s="128"/>
      <c r="BM201" s="128"/>
      <c r="BN201" s="128"/>
      <c r="BO201" s="128"/>
    </row>
    <row r="202" spans="64:67" ht="35.1" customHeight="1" x14ac:dyDescent="0.25">
      <c r="BL202" s="128"/>
      <c r="BM202" s="128"/>
      <c r="BN202" s="128"/>
      <c r="BO202" s="128"/>
    </row>
  </sheetData>
  <sheetProtection algorithmName="SHA-512" hashValue="nkC58bsNHHuJd6UCQsdFzUylQpbemNFBWvdmyuqosTRCRGSvkZnQS6R7O2LkJGynSX889nfyLN6mxjlkhLKYXQ==" saltValue="DpwDJDY1kjhZhuvm67P1tw==" spinCount="100000" sheet="1" objects="1" scenarios="1"/>
  <mergeCells count="159">
    <mergeCell ref="C3:K4"/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  <mergeCell ref="J5:J6"/>
    <mergeCell ref="K5:K6"/>
    <mergeCell ref="B28:B32"/>
    <mergeCell ref="C5:C6"/>
    <mergeCell ref="D5:D6"/>
    <mergeCell ref="E5:E6"/>
    <mergeCell ref="G5:G6"/>
    <mergeCell ref="H5:H6"/>
    <mergeCell ref="F5:F6"/>
    <mergeCell ref="I5:I6"/>
    <mergeCell ref="C12:L13"/>
    <mergeCell ref="C14:C15"/>
    <mergeCell ref="D14:D15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E14:E15"/>
    <mergeCell ref="F14:F15"/>
    <mergeCell ref="H14:H15"/>
    <mergeCell ref="I14:I15"/>
    <mergeCell ref="J14:J15"/>
    <mergeCell ref="K14:K15"/>
    <mergeCell ref="L14:L15"/>
    <mergeCell ref="G14:G15"/>
    <mergeCell ref="S113:S115"/>
    <mergeCell ref="K108:K110"/>
    <mergeCell ref="C96:T97"/>
    <mergeCell ref="C98:T98"/>
    <mergeCell ref="I99:I100"/>
    <mergeCell ref="S102:S104"/>
    <mergeCell ref="R25:R26"/>
    <mergeCell ref="C23:R24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P99:R100"/>
    <mergeCell ref="C102:C110"/>
    <mergeCell ref="O103:O104"/>
    <mergeCell ref="E102:E110"/>
    <mergeCell ref="A105:B107"/>
    <mergeCell ref="A102:B104"/>
    <mergeCell ref="J99:J100"/>
    <mergeCell ref="C113:C121"/>
    <mergeCell ref="K99:K100"/>
    <mergeCell ref="A108:B110"/>
    <mergeCell ref="A113:B115"/>
    <mergeCell ref="D99:D100"/>
    <mergeCell ref="E99:E100"/>
    <mergeCell ref="F99:F100"/>
    <mergeCell ref="G99:G100"/>
    <mergeCell ref="H99:H100"/>
    <mergeCell ref="J102:J104"/>
    <mergeCell ref="J105:J107"/>
    <mergeCell ref="K105:K107"/>
    <mergeCell ref="A116:B118"/>
    <mergeCell ref="J116:J118"/>
    <mergeCell ref="K116:K118"/>
    <mergeCell ref="L116:L118"/>
    <mergeCell ref="J108:J110"/>
    <mergeCell ref="A130:B132"/>
    <mergeCell ref="J130:J132"/>
    <mergeCell ref="K130:K132"/>
    <mergeCell ref="A119:B121"/>
    <mergeCell ref="D113:D121"/>
    <mergeCell ref="J113:J115"/>
    <mergeCell ref="K113:K115"/>
    <mergeCell ref="L113:L115"/>
    <mergeCell ref="O99:O100"/>
    <mergeCell ref="L99:L100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A127:B129"/>
    <mergeCell ref="J127:J129"/>
    <mergeCell ref="K127:K129"/>
    <mergeCell ref="L127:L129"/>
    <mergeCell ref="A124:B126"/>
    <mergeCell ref="D124:D132"/>
    <mergeCell ref="J124:J12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T144:T146"/>
    <mergeCell ref="H154:K154"/>
    <mergeCell ref="H155:K155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S144:S146"/>
    <mergeCell ref="S134:S136"/>
    <mergeCell ref="T134:T136"/>
    <mergeCell ref="S124:S126"/>
    <mergeCell ref="T124:T126"/>
    <mergeCell ref="T113:T115"/>
    <mergeCell ref="K124:K12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53"/>
  <sheetViews>
    <sheetView showGridLines="0" tabSelected="1" view="pageBreakPreview" zoomScale="80" zoomScaleNormal="80" zoomScaleSheetLayoutView="80" workbookViewId="0">
      <selection activeCell="H5" sqref="H5:H6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976"/>
      <c r="B1" s="977"/>
      <c r="C1" s="798" t="s">
        <v>345</v>
      </c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800"/>
    </row>
    <row r="2" spans="1:20" ht="35.1" customHeight="1" x14ac:dyDescent="0.2">
      <c r="A2" s="978"/>
      <c r="B2" s="979"/>
      <c r="C2" s="801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3"/>
    </row>
    <row r="3" spans="1:20" ht="35.1" customHeight="1" thickBot="1" x14ac:dyDescent="0.25">
      <c r="A3" s="980"/>
      <c r="B3" s="981"/>
      <c r="C3" s="804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6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62" t="s">
        <v>7</v>
      </c>
      <c r="C5" s="63" t="s">
        <v>353</v>
      </c>
      <c r="D5" s="63" t="s">
        <v>207</v>
      </c>
      <c r="E5" s="63" t="s">
        <v>355</v>
      </c>
      <c r="F5" s="63" t="s">
        <v>356</v>
      </c>
      <c r="G5" s="64" t="s">
        <v>357</v>
      </c>
      <c r="H5" s="974"/>
      <c r="L5" s="7"/>
    </row>
    <row r="6" spans="1:20" ht="60" customHeight="1" thickBot="1" x14ac:dyDescent="0.25">
      <c r="A6" s="8"/>
      <c r="B6" s="59" t="e">
        <f>VLOOKUP($H$5,'DATOS &gt; '!$C$7:$K$22,2,FALSE)</f>
        <v>#N/A</v>
      </c>
      <c r="C6" s="68" t="e">
        <f>VLOOKUP($H$5,'DATOS &gt; '!$C$7:$K$22,3,FALSE)</f>
        <v>#N/A</v>
      </c>
      <c r="D6" s="59" t="e">
        <f>VLOOKUP($H$5,'DATOS &gt; '!$C$7:$K$22,4,FALSE)</f>
        <v>#N/A</v>
      </c>
      <c r="E6" s="59" t="e">
        <f>VLOOKUP($H$5,'DATOS &gt; '!$C$7:$K$22,5,FALSE)</f>
        <v>#N/A</v>
      </c>
      <c r="F6" s="68" t="e">
        <f>VLOOKUP($H$5,'DATOS &gt; '!$C$7:$K$22,6,FALSE)</f>
        <v>#N/A</v>
      </c>
      <c r="G6" s="59" t="e">
        <f>VLOOKUP($H$5,'DATOS &gt; '!$C$7:$K$22,7,FALSE)</f>
        <v>#N/A</v>
      </c>
      <c r="H6" s="975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822" t="s">
        <v>346</v>
      </c>
      <c r="C8" s="823"/>
      <c r="D8" s="823"/>
      <c r="E8" s="824"/>
      <c r="F8" s="137"/>
      <c r="G8" s="14"/>
      <c r="H8" s="14"/>
      <c r="I8" s="14"/>
      <c r="J8" s="14"/>
      <c r="K8" s="14"/>
      <c r="L8" s="377"/>
    </row>
    <row r="9" spans="1:20" ht="35.1" customHeight="1" thickBot="1" x14ac:dyDescent="0.25">
      <c r="B9" s="990" t="s">
        <v>3</v>
      </c>
      <c r="C9" s="991"/>
      <c r="D9" s="239" t="e">
        <f>VLOOKUP($F$8,'DATOS &gt; '!$C$16:$L$22,2,FALSE)</f>
        <v>#N/A</v>
      </c>
      <c r="E9" s="240"/>
      <c r="F9" s="15"/>
      <c r="G9" s="822" t="s">
        <v>195</v>
      </c>
      <c r="H9" s="823"/>
      <c r="I9" s="823"/>
      <c r="J9" s="824"/>
      <c r="K9" s="14"/>
      <c r="L9" s="14"/>
    </row>
    <row r="10" spans="1:20" ht="35.1" customHeight="1" thickBot="1" x14ac:dyDescent="0.25">
      <c r="B10" s="880" t="s">
        <v>8</v>
      </c>
      <c r="C10" s="881"/>
      <c r="D10" s="65" t="e">
        <f>VLOOKUP($F$8,'DATOS &gt; '!$C$16:$L$22,3,FALSE)</f>
        <v>#N/A</v>
      </c>
      <c r="E10" s="241"/>
      <c r="F10" s="15"/>
      <c r="G10" s="988" t="s">
        <v>196</v>
      </c>
      <c r="H10" s="989"/>
      <c r="I10" s="986" t="e">
        <f>VLOOKUP($K$10,'DATOS &gt; '!$B$27:$Q$88,1,FALSE)</f>
        <v>#N/A</v>
      </c>
      <c r="J10" s="987"/>
      <c r="K10" s="138"/>
      <c r="L10" s="14"/>
      <c r="M10" s="16"/>
      <c r="N10" s="16"/>
      <c r="O10" s="16"/>
      <c r="P10" s="16"/>
    </row>
    <row r="11" spans="1:20" ht="35.1" customHeight="1" x14ac:dyDescent="0.2">
      <c r="B11" s="880" t="s">
        <v>1</v>
      </c>
      <c r="C11" s="881"/>
      <c r="D11" s="67" t="e">
        <f>VLOOKUP($F$8,'DATOS &gt; '!$C$16:$L$22,4,FALSE)</f>
        <v>#N/A</v>
      </c>
      <c r="E11" s="339"/>
      <c r="F11" s="15"/>
      <c r="G11" s="880" t="s">
        <v>3</v>
      </c>
      <c r="H11" s="881"/>
      <c r="I11" s="992" t="e">
        <f>VLOOKUP($K$10,'DATOS &gt; '!$B$27:$R$88,4,FALSE)</f>
        <v>#N/A</v>
      </c>
      <c r="J11" s="993"/>
      <c r="K11" s="14"/>
      <c r="L11" s="14"/>
      <c r="P11" s="16"/>
    </row>
    <row r="12" spans="1:20" s="16" customFormat="1" ht="35.1" customHeight="1" x14ac:dyDescent="0.2">
      <c r="B12" s="880" t="s">
        <v>216</v>
      </c>
      <c r="C12" s="985"/>
      <c r="D12" s="67" t="e">
        <f>VLOOKUP($F$8,'DATOS &gt; '!$C$16:$L$22,5,FALSE)</f>
        <v>#N/A</v>
      </c>
      <c r="E12" s="241"/>
      <c r="F12" s="17"/>
      <c r="G12" s="927" t="s">
        <v>0</v>
      </c>
      <c r="H12" s="928"/>
      <c r="I12" s="992" t="e">
        <f>VLOOKUP($K$10,'DATOS &gt; '!$B$27:$R$88,3,FALSE)</f>
        <v>#N/A</v>
      </c>
      <c r="J12" s="993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931" t="s">
        <v>44</v>
      </c>
      <c r="C13" s="932"/>
      <c r="D13" s="67" t="e">
        <f>VLOOKUP($F$8,'DATOS &gt; '!$C$16:$L$22,6,FALSE)</f>
        <v>#N/A</v>
      </c>
      <c r="E13" s="241"/>
      <c r="F13" s="17"/>
      <c r="G13" s="880" t="s">
        <v>2</v>
      </c>
      <c r="H13" s="881"/>
      <c r="I13" s="992" t="e">
        <f>VLOOKUP($K$10,'DATOS &gt; '!$B$27:$R$88,7,FALSE)</f>
        <v>#N/A</v>
      </c>
      <c r="J13" s="993"/>
      <c r="K13" s="10"/>
      <c r="L13" s="18"/>
    </row>
    <row r="14" spans="1:20" s="16" customFormat="1" ht="35.1" customHeight="1" x14ac:dyDescent="0.2">
      <c r="B14" s="933" t="s">
        <v>208</v>
      </c>
      <c r="C14" s="934"/>
      <c r="D14" s="66" t="e">
        <f>VLOOKUP($F$8,'DATOS &gt; '!$C$16:$L$22,7,FALSE)</f>
        <v>#N/A</v>
      </c>
      <c r="E14" s="241"/>
      <c r="F14" s="17"/>
      <c r="G14" s="880" t="s">
        <v>185</v>
      </c>
      <c r="H14" s="881"/>
      <c r="I14" s="994" t="e">
        <f>VLOOKUP($K$10,'DATOS &gt; '!$B$27:$R$88,8,FALSE)</f>
        <v>#N/A</v>
      </c>
      <c r="J14" s="995"/>
      <c r="K14" s="10"/>
      <c r="L14" s="18"/>
    </row>
    <row r="15" spans="1:20" s="16" customFormat="1" ht="35.1" customHeight="1" thickBot="1" x14ac:dyDescent="0.25">
      <c r="B15" s="898" t="s">
        <v>209</v>
      </c>
      <c r="C15" s="899"/>
      <c r="D15" s="242" t="e">
        <f>VLOOKUP($F$8,'DATOS &gt; '!$C$16:$L$22,8,FALSE)</f>
        <v>#N/A</v>
      </c>
      <c r="E15" s="243"/>
      <c r="F15" s="17"/>
      <c r="G15" s="900" t="s">
        <v>87</v>
      </c>
      <c r="H15" s="901"/>
      <c r="I15" s="902" t="e">
        <f>VLOOKUP($K$10,'DATOS &gt; '!$B$27:$R$88,17,FALSE)</f>
        <v>#N/A</v>
      </c>
      <c r="J15" s="903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855" t="s">
        <v>9</v>
      </c>
      <c r="C17" s="856"/>
      <c r="D17" s="823"/>
      <c r="E17" s="823"/>
      <c r="F17" s="823"/>
      <c r="G17" s="823"/>
      <c r="H17" s="823"/>
      <c r="I17" s="823"/>
      <c r="J17" s="824"/>
      <c r="K17" s="10"/>
      <c r="L17" s="10"/>
    </row>
    <row r="18" spans="1:12" s="16" customFormat="1" ht="35.1" customHeight="1" thickBot="1" x14ac:dyDescent="0.3">
      <c r="B18" s="792" t="s">
        <v>72</v>
      </c>
      <c r="C18" s="793"/>
      <c r="D18" s="919"/>
      <c r="E18" s="228"/>
      <c r="F18" s="921"/>
      <c r="G18" s="908" t="s">
        <v>210</v>
      </c>
      <c r="H18" s="909"/>
      <c r="I18" s="909"/>
      <c r="J18" s="910"/>
      <c r="K18" s="10"/>
      <c r="L18" s="10"/>
    </row>
    <row r="19" spans="1:12" s="16" customFormat="1" ht="35.1" customHeight="1" thickBot="1" x14ac:dyDescent="0.3">
      <c r="B19" s="794"/>
      <c r="C19" s="795"/>
      <c r="D19" s="920"/>
      <c r="E19" s="229"/>
      <c r="F19" s="922"/>
      <c r="G19" s="911" t="s">
        <v>73</v>
      </c>
      <c r="H19" s="904" t="s">
        <v>90</v>
      </c>
      <c r="I19" s="904" t="s">
        <v>11</v>
      </c>
      <c r="J19" s="906" t="s">
        <v>211</v>
      </c>
      <c r="K19" s="10"/>
      <c r="L19" s="10"/>
    </row>
    <row r="20" spans="1:12" s="16" customFormat="1" ht="35.1" customHeight="1" thickBot="1" x14ac:dyDescent="0.3">
      <c r="B20" s="796"/>
      <c r="C20" s="797"/>
      <c r="D20" s="915"/>
      <c r="E20" s="916"/>
      <c r="F20" s="916"/>
      <c r="G20" s="912"/>
      <c r="H20" s="905"/>
      <c r="I20" s="905"/>
      <c r="J20" s="907"/>
      <c r="K20" s="10"/>
      <c r="L20" s="10"/>
    </row>
    <row r="21" spans="1:12" s="16" customFormat="1" ht="35.1" customHeight="1" thickBot="1" x14ac:dyDescent="0.3">
      <c r="B21" s="792" t="s">
        <v>10</v>
      </c>
      <c r="C21" s="793"/>
      <c r="D21" s="917"/>
      <c r="E21" s="918"/>
      <c r="F21" s="918"/>
      <c r="G21" s="234" t="e">
        <f>VLOOKUP($K$21,'DATOS &gt; '!$C$27:$R$88,8,FALSE)</f>
        <v>#N/A</v>
      </c>
      <c r="H21" s="514" t="e">
        <f>VLOOKUP($K$21,'DATOS &gt; '!$C$27:$R$88,12,FALSE)</f>
        <v>#N/A</v>
      </c>
      <c r="I21" s="230" t="e">
        <f>VLOOKUP($K$21,'DATOS &gt; '!$C$27:$R$88,13,FALSE)</f>
        <v>#N/A</v>
      </c>
      <c r="J21" s="235" t="e">
        <f>VLOOKUP($K$21,'DATOS &gt; '!$C$27:$R$88,5,FALSE)</f>
        <v>#N/A</v>
      </c>
      <c r="K21" s="232"/>
      <c r="L21" s="10"/>
    </row>
    <row r="22" spans="1:12" s="16" customFormat="1" ht="35.1" customHeight="1" thickBot="1" x14ac:dyDescent="0.3">
      <c r="B22" s="794"/>
      <c r="C22" s="795"/>
      <c r="D22" s="139"/>
      <c r="E22" s="139"/>
      <c r="F22" s="231"/>
      <c r="G22" s="234" t="e">
        <f>VLOOKUP($K$22,'DATOS &gt; '!$C$27:$R$88,8,FALSE)</f>
        <v>#N/A</v>
      </c>
      <c r="H22" s="513" t="e">
        <f>VLOOKUP($K$22,'DATOS &gt; '!$C$27:$R$88,12,FALSE)</f>
        <v>#N/A</v>
      </c>
      <c r="I22" s="61" t="e">
        <f>VLOOKUP($K$22,'DATOS &gt; '!$C$27:$R$88,13,FALSE)</f>
        <v>#N/A</v>
      </c>
      <c r="J22" s="237" t="e">
        <f>VLOOKUP($K$22,'DATOS &gt; '!$C$27:$R$88,5,FALSE)</f>
        <v>#N/A</v>
      </c>
      <c r="K22" s="232"/>
      <c r="L22" s="10"/>
    </row>
    <row r="23" spans="1:12" s="16" customFormat="1" ht="35.1" customHeight="1" thickBot="1" x14ac:dyDescent="0.3">
      <c r="A23" s="19"/>
      <c r="B23" s="796"/>
      <c r="C23" s="797"/>
      <c r="D23" s="923"/>
      <c r="E23" s="924"/>
      <c r="F23" s="924"/>
      <c r="G23" s="236" t="e">
        <f>VLOOKUP($K$23,'DATOS &gt; '!$C$27:$R$88,8,FALSE)</f>
        <v>#N/A</v>
      </c>
      <c r="H23" s="513" t="e">
        <f>VLOOKUP($K$23,'DATOS &gt; '!$C$27:$R$88,12,FALSE)</f>
        <v>#N/A</v>
      </c>
      <c r="I23" s="333" t="e">
        <f>VLOOKUP($K$23,'DATOS &gt; '!$C$27:$R$88,13,FALSE)</f>
        <v>#N/A</v>
      </c>
      <c r="J23" s="237" t="e">
        <f>VLOOKUP($K$23,'DATOS &gt; '!$C$27:$R$88,5,FALSE)</f>
        <v>#N/A</v>
      </c>
      <c r="K23" s="512"/>
      <c r="L23" s="10"/>
    </row>
    <row r="24" spans="1:12" s="16" customFormat="1" ht="35.1" customHeight="1" thickBot="1" x14ac:dyDescent="0.3">
      <c r="A24" s="19"/>
      <c r="C24" s="925" t="s">
        <v>244</v>
      </c>
      <c r="D24" s="926"/>
      <c r="E24" s="244"/>
      <c r="G24" s="236" t="e">
        <f>VLOOKUP($K$24,'DATOS &gt; '!$C$27:$R$88,8,FALSE)</f>
        <v>#N/A</v>
      </c>
      <c r="H24" s="513" t="e">
        <f>VLOOKUP($K$24,'DATOS &gt; '!$C$27:$R$88,12,FALSE)</f>
        <v>#N/A</v>
      </c>
      <c r="I24" s="333" t="e">
        <f>VLOOKUP($K$24,'DATOS &gt; '!$C$27:$R$88,13,FALSE)</f>
        <v>#N/A</v>
      </c>
      <c r="J24" s="237" t="e">
        <f>VLOOKUP($K$24,'DATOS &gt; '!$C$27:$R$88,5,FALSE)</f>
        <v>#N/A</v>
      </c>
      <c r="K24" s="232"/>
      <c r="L24" s="10"/>
    </row>
    <row r="25" spans="1:12" s="16" customFormat="1" ht="35.1" customHeight="1" thickBot="1" x14ac:dyDescent="0.3">
      <c r="A25" s="22"/>
      <c r="B25" s="170" t="s">
        <v>194</v>
      </c>
      <c r="C25" s="209" t="s">
        <v>91</v>
      </c>
      <c r="D25" s="245" t="s">
        <v>55</v>
      </c>
      <c r="E25" s="171" t="s">
        <v>108</v>
      </c>
      <c r="G25" s="238" t="e">
        <f>G22+G23+G24+B26</f>
        <v>#N/A</v>
      </c>
      <c r="H25" s="513" t="e">
        <f>H22+H23+H24+C26</f>
        <v>#N/A</v>
      </c>
      <c r="I25" s="210" t="e">
        <f>I22+I23+I24+D26</f>
        <v>#N/A</v>
      </c>
      <c r="J25" s="227" t="e">
        <f>VLOOKUP($K$24,'DATOS &gt; '!$C$27:$R$88,5,FALSE)</f>
        <v>#N/A</v>
      </c>
      <c r="K25" s="10"/>
    </row>
    <row r="26" spans="1:12" s="16" customFormat="1" ht="35.1" customHeight="1" thickBot="1" x14ac:dyDescent="0.3">
      <c r="A26" s="19"/>
      <c r="B26" s="238" t="e">
        <f>VLOOKUP($E$24,'DATOS &gt; '!$C$27:$R$88,8,FALSE)</f>
        <v>#N/A</v>
      </c>
      <c r="C26" s="225" t="e">
        <f>VLOOKUP($E$24,'DATOS &gt; '!$C$27:$R$88,12,FALSE)</f>
        <v>#N/A</v>
      </c>
      <c r="D26" s="225" t="e">
        <f>VLOOKUP($E$24,'DATOS &gt; '!$C$27:$R$88,13,FALSE)</f>
        <v>#N/A</v>
      </c>
      <c r="E26" s="227" t="e">
        <f>VLOOKUP($E$24,'DATOS &gt; '!$C$27:$R$88,5,FALSE)</f>
        <v>#N/A</v>
      </c>
      <c r="F26" s="23" t="s">
        <v>85</v>
      </c>
      <c r="G26" s="24">
        <f>5-2</f>
        <v>3</v>
      </c>
      <c r="H26" s="10"/>
      <c r="I26" s="233"/>
    </row>
    <row r="27" spans="1:12" s="16" customFormat="1" ht="36" customHeight="1" thickBot="1" x14ac:dyDescent="0.3">
      <c r="A27" s="19"/>
      <c r="B27" s="996" t="s">
        <v>217</v>
      </c>
      <c r="C27" s="997"/>
      <c r="D27" s="997"/>
      <c r="E27" s="997"/>
      <c r="F27" s="997"/>
      <c r="G27" s="997"/>
      <c r="H27" s="997"/>
      <c r="I27" s="997"/>
      <c r="J27" s="997"/>
      <c r="K27" s="998"/>
    </row>
    <row r="28" spans="1:12" ht="49.5" customHeight="1" x14ac:dyDescent="0.25">
      <c r="A28" s="19"/>
      <c r="B28" s="218" t="s">
        <v>3</v>
      </c>
      <c r="C28" s="219" t="e">
        <f>VLOOKUP($K$28,'DATOS &gt; '!$G$153:$T$166,2,FALSE)</f>
        <v>#N/A</v>
      </c>
      <c r="D28" s="220" t="s">
        <v>70</v>
      </c>
      <c r="E28" s="221" t="e">
        <f>VLOOKUP($K$28,'DATOS &gt; '!$G$153:$T$166,3,FALSE)</f>
        <v>#N/A</v>
      </c>
      <c r="F28" s="222" t="s">
        <v>2</v>
      </c>
      <c r="G28" s="999" t="e">
        <f>VLOOKUP($K$28,'DATOS &gt; '!$G$153:$T$166,4,FALSE)</f>
        <v>#N/A</v>
      </c>
      <c r="H28" s="1000"/>
      <c r="I28" s="220" t="s">
        <v>218</v>
      </c>
      <c r="J28" s="223" t="e">
        <f>VLOOKUP($K$28,'DATOS &gt; '!$G$153:$T$166,5,FALSE)</f>
        <v>#N/A</v>
      </c>
      <c r="K28" s="913"/>
    </row>
    <row r="29" spans="1:12" ht="35.1" customHeight="1" thickBot="1" x14ac:dyDescent="0.3">
      <c r="A29" s="19"/>
      <c r="B29" s="878" t="s">
        <v>220</v>
      </c>
      <c r="C29" s="879"/>
      <c r="D29" s="224" t="s">
        <v>6</v>
      </c>
      <c r="E29" s="225" t="e">
        <f>VLOOKUP($K$28,'DATOS &gt; '!$G$153:$T$166,6,FALSE)</f>
        <v>#N/A</v>
      </c>
      <c r="F29" s="854" t="s">
        <v>4</v>
      </c>
      <c r="G29" s="854"/>
      <c r="H29" s="225" t="e">
        <f>VLOOKUP($K$28,'DATOS &gt; '!$G$153:$T$166,7,FALSE)</f>
        <v>#N/A</v>
      </c>
      <c r="I29" s="226" t="s">
        <v>5</v>
      </c>
      <c r="J29" s="227" t="e">
        <f>VLOOKUP($K$28,'DATOS &gt; '!$G$153:$T$166,8,FALSE)</f>
        <v>#N/A</v>
      </c>
      <c r="K29" s="914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822" t="s">
        <v>56</v>
      </c>
      <c r="C31" s="823"/>
      <c r="D31" s="823"/>
      <c r="E31" s="823"/>
      <c r="F31" s="823"/>
      <c r="G31" s="823"/>
      <c r="H31" s="823"/>
      <c r="I31" s="824"/>
      <c r="K31" s="25" t="s">
        <v>88</v>
      </c>
      <c r="L31" s="10"/>
    </row>
    <row r="32" spans="1:12" ht="38.25" customHeight="1" thickBot="1" x14ac:dyDescent="0.25">
      <c r="B32" s="381" t="s">
        <v>242</v>
      </c>
      <c r="C32" s="436"/>
      <c r="D32" s="437" t="s">
        <v>6</v>
      </c>
      <c r="E32" s="438"/>
      <c r="F32" s="64" t="s">
        <v>4</v>
      </c>
      <c r="G32" s="438"/>
      <c r="H32" s="433" t="s">
        <v>5</v>
      </c>
      <c r="I32" s="439"/>
      <c r="K32" s="27" t="s">
        <v>49</v>
      </c>
      <c r="L32" s="28">
        <f>'DATOS &gt; '!J8</f>
        <v>2</v>
      </c>
    </row>
    <row r="33" spans="1:11" ht="35.1" customHeight="1" thickBot="1" x14ac:dyDescent="0.25">
      <c r="A33" s="6"/>
      <c r="B33" s="848" t="s">
        <v>12</v>
      </c>
      <c r="C33" s="849"/>
      <c r="D33" s="849"/>
      <c r="E33" s="849"/>
      <c r="F33" s="849"/>
      <c r="G33" s="850"/>
    </row>
    <row r="34" spans="1:11" ht="35.1" customHeight="1" thickBot="1" x14ac:dyDescent="0.25">
      <c r="A34" s="6"/>
      <c r="C34" s="432" t="s">
        <v>51</v>
      </c>
      <c r="D34" s="433" t="s">
        <v>50</v>
      </c>
      <c r="E34" s="434">
        <f>E19</f>
        <v>0</v>
      </c>
      <c r="F34" s="433" t="s">
        <v>43</v>
      </c>
      <c r="G34" s="435">
        <f>E34*1000</f>
        <v>0</v>
      </c>
    </row>
    <row r="35" spans="1:11" ht="35.1" customHeight="1" x14ac:dyDescent="0.2">
      <c r="A35" s="6"/>
      <c r="B35" s="380" t="s">
        <v>13</v>
      </c>
      <c r="C35" s="212">
        <v>1</v>
      </c>
      <c r="D35" s="212">
        <v>2</v>
      </c>
      <c r="E35" s="212">
        <v>3</v>
      </c>
      <c r="F35" s="212">
        <v>4</v>
      </c>
      <c r="G35" s="213">
        <v>5</v>
      </c>
    </row>
    <row r="36" spans="1:11" ht="35.1" customHeight="1" x14ac:dyDescent="0.2">
      <c r="A36" s="6"/>
      <c r="B36" s="430" t="s">
        <v>212</v>
      </c>
      <c r="C36" s="414"/>
      <c r="D36" s="414"/>
      <c r="E36" s="414"/>
      <c r="F36" s="414"/>
      <c r="G36" s="428"/>
      <c r="H36" s="6">
        <v>4999.8999999999996</v>
      </c>
    </row>
    <row r="37" spans="1:11" ht="35.1" customHeight="1" x14ac:dyDescent="0.2">
      <c r="A37" s="6"/>
      <c r="B37" s="430" t="s">
        <v>14</v>
      </c>
      <c r="C37" s="29">
        <f>$C$36-C36</f>
        <v>0</v>
      </c>
      <c r="D37" s="29">
        <f>$C$36-D36</f>
        <v>0</v>
      </c>
      <c r="E37" s="29">
        <f>$C$36-E36</f>
        <v>0</v>
      </c>
      <c r="F37" s="29">
        <f>$C$36-F36</f>
        <v>0</v>
      </c>
      <c r="G37" s="214">
        <f>$C$36-G36</f>
        <v>0</v>
      </c>
    </row>
    <row r="38" spans="1:11" ht="35.1" customHeight="1" thickBot="1" x14ac:dyDescent="0.25">
      <c r="A38" s="6"/>
      <c r="B38" s="431" t="s">
        <v>42</v>
      </c>
      <c r="C38" s="216">
        <f>ABS(C37)</f>
        <v>0</v>
      </c>
      <c r="D38" s="216">
        <f>ABS(D37)</f>
        <v>0</v>
      </c>
      <c r="E38" s="216">
        <f>ABS(E37)</f>
        <v>0</v>
      </c>
      <c r="F38" s="216">
        <f>ABS(F37)</f>
        <v>0</v>
      </c>
      <c r="G38" s="217">
        <f>ABS(G37)</f>
        <v>0</v>
      </c>
    </row>
    <row r="39" spans="1:11" ht="35.1" customHeight="1" thickBot="1" x14ac:dyDescent="0.3">
      <c r="A39" s="6"/>
      <c r="B39" s="429" t="s">
        <v>43</v>
      </c>
      <c r="C39" s="595">
        <f>MAX(C38:G38)*1000</f>
        <v>0</v>
      </c>
      <c r="D39" s="30"/>
      <c r="E39" s="30"/>
      <c r="F39" s="30"/>
      <c r="G39" s="30"/>
    </row>
    <row r="40" spans="1:11" ht="9.9499999999999993" customHeight="1" thickBot="1" x14ac:dyDescent="0.25">
      <c r="A40" s="6"/>
    </row>
    <row r="41" spans="1:11" ht="35.1" customHeight="1" thickBot="1" x14ac:dyDescent="0.25">
      <c r="B41" s="822" t="s">
        <v>15</v>
      </c>
      <c r="C41" s="823"/>
      <c r="D41" s="823"/>
      <c r="E41" s="823"/>
      <c r="F41" s="823"/>
      <c r="G41" s="823"/>
      <c r="H41" s="823"/>
      <c r="I41" s="823"/>
      <c r="J41" s="823"/>
      <c r="K41" s="824"/>
    </row>
    <row r="42" spans="1:11" s="31" customFormat="1" ht="35.1" customHeight="1" thickBot="1" x14ac:dyDescent="0.25">
      <c r="B42" s="982" t="s">
        <v>18</v>
      </c>
      <c r="C42" s="983"/>
      <c r="D42" s="983"/>
      <c r="E42" s="983"/>
      <c r="F42" s="983"/>
      <c r="G42" s="983"/>
      <c r="H42" s="983"/>
      <c r="I42" s="983"/>
      <c r="J42" s="984"/>
      <c r="K42" s="319" t="s">
        <v>46</v>
      </c>
    </row>
    <row r="43" spans="1:11" ht="35.1" customHeight="1" thickBot="1" x14ac:dyDescent="0.25">
      <c r="A43" s="523" t="s">
        <v>16</v>
      </c>
      <c r="B43" s="425">
        <v>1</v>
      </c>
      <c r="C43" s="426">
        <v>2</v>
      </c>
      <c r="D43" s="426">
        <v>3</v>
      </c>
      <c r="E43" s="426">
        <v>4</v>
      </c>
      <c r="F43" s="426">
        <v>5</v>
      </c>
      <c r="G43" s="426">
        <v>6</v>
      </c>
      <c r="H43" s="426">
        <v>7</v>
      </c>
      <c r="I43" s="426">
        <v>8</v>
      </c>
      <c r="J43" s="426">
        <v>9</v>
      </c>
      <c r="K43" s="427">
        <v>10</v>
      </c>
    </row>
    <row r="44" spans="1:11" ht="35.1" customHeight="1" x14ac:dyDescent="0.2">
      <c r="A44" s="524">
        <f>D22</f>
        <v>0</v>
      </c>
      <c r="B44" s="515"/>
      <c r="C44" s="517"/>
      <c r="D44" s="517"/>
      <c r="E44" s="517"/>
      <c r="F44" s="517"/>
      <c r="G44" s="517"/>
      <c r="H44" s="517"/>
      <c r="I44" s="517"/>
      <c r="J44" s="517"/>
      <c r="K44" s="518"/>
    </row>
    <row r="45" spans="1:11" ht="35.1" customHeight="1" x14ac:dyDescent="0.2">
      <c r="A45" s="524">
        <f>E22</f>
        <v>0</v>
      </c>
      <c r="B45" s="519"/>
      <c r="C45" s="516"/>
      <c r="D45" s="516"/>
      <c r="E45" s="516"/>
      <c r="F45" s="516"/>
      <c r="G45" s="516"/>
      <c r="H45" s="516"/>
      <c r="I45" s="516"/>
      <c r="J45" s="516"/>
      <c r="K45" s="520"/>
    </row>
    <row r="46" spans="1:11" ht="35.1" customHeight="1" thickBot="1" x14ac:dyDescent="0.25">
      <c r="A46" s="525">
        <f>F22</f>
        <v>0</v>
      </c>
      <c r="B46" s="527"/>
      <c r="C46" s="528"/>
      <c r="D46" s="528"/>
      <c r="E46" s="528"/>
      <c r="F46" s="522"/>
      <c r="G46" s="522"/>
      <c r="H46" s="522"/>
      <c r="I46" s="522"/>
      <c r="J46" s="522"/>
      <c r="K46" s="526"/>
    </row>
    <row r="47" spans="1:11" ht="35.1" customHeight="1" thickBot="1" x14ac:dyDescent="0.25">
      <c r="B47" s="523" t="s">
        <v>16</v>
      </c>
      <c r="C47" s="537" t="s">
        <v>17</v>
      </c>
      <c r="D47" s="246" t="s">
        <v>59</v>
      </c>
      <c r="E47" s="538" t="s">
        <v>58</v>
      </c>
      <c r="F47" s="539" t="s">
        <v>213</v>
      </c>
      <c r="H47" s="1"/>
      <c r="J47" s="1"/>
      <c r="K47" s="32"/>
    </row>
    <row r="48" spans="1:11" ht="35.1" customHeight="1" thickBot="1" x14ac:dyDescent="0.25">
      <c r="B48" s="532">
        <f>A44</f>
        <v>0</v>
      </c>
      <c r="C48" s="534" t="e">
        <f>AVERAGE(B44:K44)</f>
        <v>#DIV/0!</v>
      </c>
      <c r="D48" s="535" t="e">
        <f>_xlfn.STDEV.S(B44:K44)</f>
        <v>#DIV/0!</v>
      </c>
      <c r="E48" s="536" t="e">
        <f>D48*1000</f>
        <v>#DIV/0!</v>
      </c>
      <c r="F48" s="566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532">
        <f>A45</f>
        <v>0</v>
      </c>
      <c r="C49" s="530" t="e">
        <f>AVERAGE(B45:K45)</f>
        <v>#DIV/0!</v>
      </c>
      <c r="D49" s="333" t="e">
        <f>_xlfn.STDEV.S(B45:K45)</f>
        <v>#DIV/0!</v>
      </c>
      <c r="E49" s="529" t="e">
        <f>D49*1000</f>
        <v>#DIV/0!</v>
      </c>
      <c r="F49" s="7"/>
      <c r="H49" s="1"/>
      <c r="I49" s="1"/>
      <c r="J49" s="7"/>
      <c r="K49" s="1"/>
    </row>
    <row r="50" spans="1:13" ht="35.1" customHeight="1" thickBot="1" x14ac:dyDescent="0.25">
      <c r="A50" s="6"/>
      <c r="B50" s="533">
        <f>A46</f>
        <v>0</v>
      </c>
      <c r="C50" s="531" t="e">
        <f>AVERAGE(B46:K46)</f>
        <v>#DIV/0!</v>
      </c>
      <c r="D50" s="210" t="e">
        <f>_xlfn.STDEV.S(B46:K46)</f>
        <v>#DIV/0!</v>
      </c>
      <c r="E50" s="211" t="e">
        <f>D50*1000</f>
        <v>#DIV/0!</v>
      </c>
      <c r="F50" s="7"/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822" t="s">
        <v>21</v>
      </c>
      <c r="C52" s="823"/>
      <c r="D52" s="823"/>
      <c r="E52" s="823"/>
      <c r="F52" s="823"/>
      <c r="G52" s="823"/>
      <c r="H52" s="823"/>
      <c r="I52" s="823"/>
      <c r="J52" s="823"/>
      <c r="K52" s="823"/>
      <c r="L52" s="824"/>
    </row>
    <row r="53" spans="1:13" ht="35.1" customHeight="1" thickBot="1" x14ac:dyDescent="0.25">
      <c r="B53" s="822" t="s">
        <v>80</v>
      </c>
      <c r="C53" s="823"/>
      <c r="D53" s="823"/>
      <c r="E53" s="824"/>
      <c r="F53" s="34"/>
      <c r="G53" s="822" t="s">
        <v>261</v>
      </c>
      <c r="H53" s="823"/>
      <c r="I53" s="823"/>
      <c r="J53" s="823"/>
      <c r="K53" s="823"/>
      <c r="L53" s="824"/>
    </row>
    <row r="54" spans="1:13" ht="46.5" customHeight="1" thickBot="1" x14ac:dyDescent="0.25">
      <c r="A54" s="6"/>
      <c r="B54" s="440" t="s">
        <v>276</v>
      </c>
      <c r="C54" s="249" t="s">
        <v>103</v>
      </c>
      <c r="D54" s="247" t="s">
        <v>32</v>
      </c>
      <c r="E54" s="248" t="s">
        <v>32</v>
      </c>
      <c r="F54" s="34"/>
      <c r="G54" s="541" t="s">
        <v>103</v>
      </c>
      <c r="H54" s="542" t="s">
        <v>214</v>
      </c>
      <c r="I54" s="542"/>
      <c r="J54" s="542"/>
      <c r="K54" s="543" t="s">
        <v>32</v>
      </c>
      <c r="L54" s="544" t="s">
        <v>32</v>
      </c>
    </row>
    <row r="55" spans="1:13" ht="35.1" customHeight="1" x14ac:dyDescent="0.2">
      <c r="A55" s="6"/>
      <c r="B55" s="416" t="e">
        <f>H21</f>
        <v>#N/A</v>
      </c>
      <c r="C55" s="419"/>
      <c r="D55" s="417" t="e">
        <f>C55-B55</f>
        <v>#N/A</v>
      </c>
      <c r="E55" s="418" t="e">
        <f>D55*1000</f>
        <v>#N/A</v>
      </c>
      <c r="F55" s="34"/>
      <c r="G55" s="419"/>
      <c r="H55" s="420"/>
      <c r="I55" s="305" t="e">
        <f>AVERAGE(G55:H55)</f>
        <v>#DIV/0!</v>
      </c>
      <c r="J55" s="421" t="e">
        <f>I55*1000</f>
        <v>#DIV/0!</v>
      </c>
      <c r="K55" s="417" t="e">
        <f>I55-B55</f>
        <v>#DIV/0!</v>
      </c>
      <c r="L55" s="422" t="e">
        <f>K55*1000</f>
        <v>#DIV/0!</v>
      </c>
    </row>
    <row r="56" spans="1:13" ht="35.1" customHeight="1" x14ac:dyDescent="0.2">
      <c r="A56" s="6"/>
      <c r="B56" s="250" t="e">
        <f>H22</f>
        <v>#N/A</v>
      </c>
      <c r="C56" s="519"/>
      <c r="D56" s="35" t="e">
        <f>C56-B56</f>
        <v>#N/A</v>
      </c>
      <c r="E56" s="207" t="e">
        <f>D56*1000</f>
        <v>#N/A</v>
      </c>
      <c r="F56" s="34"/>
      <c r="G56" s="519"/>
      <c r="H56" s="516"/>
      <c r="I56" s="379" t="e">
        <f>AVERAGE(G56:H56)</f>
        <v>#DIV/0!</v>
      </c>
      <c r="J56" s="415" t="e">
        <f>I56*1000</f>
        <v>#DIV/0!</v>
      </c>
      <c r="K56" s="35" t="e">
        <f>I56-B56</f>
        <v>#DIV/0!</v>
      </c>
      <c r="L56" s="201" t="e">
        <f>K56*1000</f>
        <v>#DIV/0!</v>
      </c>
    </row>
    <row r="57" spans="1:13" ht="35.1" customHeight="1" x14ac:dyDescent="0.2">
      <c r="A57" s="6"/>
      <c r="B57" s="250" t="e">
        <f>H23</f>
        <v>#N/A</v>
      </c>
      <c r="C57" s="540"/>
      <c r="D57" s="35" t="e">
        <f>C57-B57</f>
        <v>#N/A</v>
      </c>
      <c r="E57" s="207" t="e">
        <f>D57*1000</f>
        <v>#N/A</v>
      </c>
      <c r="F57" s="34"/>
      <c r="G57" s="519"/>
      <c r="H57" s="516"/>
      <c r="I57" s="379" t="e">
        <f>AVERAGE(G57:H57)</f>
        <v>#DIV/0!</v>
      </c>
      <c r="J57" s="415" t="e">
        <f>I57*1000</f>
        <v>#DIV/0!</v>
      </c>
      <c r="K57" s="35" t="e">
        <f>I57-B57</f>
        <v>#DIV/0!</v>
      </c>
      <c r="L57" s="202" t="e">
        <f>K57*1000</f>
        <v>#DIV/0!</v>
      </c>
    </row>
    <row r="58" spans="1:13" ht="35.1" customHeight="1" x14ac:dyDescent="0.2">
      <c r="A58" s="6"/>
      <c r="B58" s="250" t="e">
        <f>H24</f>
        <v>#N/A</v>
      </c>
      <c r="C58" s="519"/>
      <c r="D58" s="35" t="e">
        <f>C58-B58</f>
        <v>#N/A</v>
      </c>
      <c r="E58" s="207" t="e">
        <f>D58*1000</f>
        <v>#N/A</v>
      </c>
      <c r="F58" s="34"/>
      <c r="G58" s="519"/>
      <c r="H58" s="516"/>
      <c r="I58" s="379" t="e">
        <f>AVERAGE(G58:H58)</f>
        <v>#DIV/0!</v>
      </c>
      <c r="J58" s="415" t="e">
        <f>I58*1000</f>
        <v>#DIV/0!</v>
      </c>
      <c r="K58" s="35" t="e">
        <f>I58-B58</f>
        <v>#DIV/0!</v>
      </c>
      <c r="L58" s="202" t="e">
        <f>K58*1000</f>
        <v>#DIV/0!</v>
      </c>
    </row>
    <row r="59" spans="1:13" ht="35.1" customHeight="1" thickBot="1" x14ac:dyDescent="0.25">
      <c r="A59" s="6"/>
      <c r="B59" s="251" t="e">
        <f>H25</f>
        <v>#N/A</v>
      </c>
      <c r="C59" s="521"/>
      <c r="D59" s="204" t="e">
        <f>C59-B59</f>
        <v>#N/A</v>
      </c>
      <c r="E59" s="208" t="e">
        <f>D59*1000</f>
        <v>#N/A</v>
      </c>
      <c r="F59" s="206"/>
      <c r="G59" s="521"/>
      <c r="H59" s="522"/>
      <c r="I59" s="423" t="e">
        <f>AVERAGE(G59:H59)</f>
        <v>#DIV/0!</v>
      </c>
      <c r="J59" s="424" t="e">
        <f>I59*1000</f>
        <v>#DIV/0!</v>
      </c>
      <c r="K59" s="204" t="e">
        <f>I59-B59</f>
        <v>#DIV/0!</v>
      </c>
      <c r="L59" s="205" t="e">
        <f>K59*1000</f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36"/>
      <c r="B61" s="855" t="s">
        <v>57</v>
      </c>
      <c r="C61" s="856"/>
      <c r="D61" s="856"/>
      <c r="E61" s="856"/>
      <c r="F61" s="856"/>
      <c r="G61" s="856"/>
      <c r="H61" s="856"/>
      <c r="I61" s="857"/>
    </row>
    <row r="62" spans="1:13" ht="35.1" customHeight="1" thickBot="1" x14ac:dyDescent="0.25">
      <c r="A62" s="36"/>
      <c r="B62" s="347" t="s">
        <v>241</v>
      </c>
      <c r="C62" s="140"/>
      <c r="D62" s="71" t="s">
        <v>6</v>
      </c>
      <c r="E62" s="141"/>
      <c r="F62" s="71" t="s">
        <v>4</v>
      </c>
      <c r="G62" s="142"/>
      <c r="H62" s="72" t="s">
        <v>5</v>
      </c>
      <c r="I62" s="143"/>
      <c r="J62" s="1"/>
      <c r="K62" s="960"/>
      <c r="L62" s="961"/>
    </row>
    <row r="63" spans="1:13" ht="35.1" customHeight="1" thickBo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35.1" customHeight="1" thickBot="1" x14ac:dyDescent="0.25">
      <c r="A64" s="70"/>
      <c r="B64" s="866" t="s">
        <v>237</v>
      </c>
      <c r="C64" s="867"/>
      <c r="D64" s="71" t="s">
        <v>6</v>
      </c>
      <c r="E64" s="75">
        <f>(E32+E62)/2</f>
        <v>0</v>
      </c>
      <c r="F64" s="71" t="s">
        <v>4</v>
      </c>
      <c r="G64" s="75">
        <f>(G32+G62)/2</f>
        <v>0</v>
      </c>
      <c r="H64" s="72" t="s">
        <v>5</v>
      </c>
      <c r="I64" s="75">
        <f>(I32+I62)/2</f>
        <v>0</v>
      </c>
      <c r="J64" s="132"/>
      <c r="K64" s="858" t="s">
        <v>245</v>
      </c>
      <c r="L64" s="859"/>
    </row>
    <row r="65" spans="1:15" ht="38.25" customHeight="1" thickBot="1" x14ac:dyDescent="0.25">
      <c r="A65" s="70"/>
      <c r="B65" s="866" t="s">
        <v>238</v>
      </c>
      <c r="C65" s="867"/>
      <c r="D65" s="71" t="s">
        <v>6</v>
      </c>
      <c r="E65" s="75" t="e">
        <f>E64+(VLOOKUP(K28,'DATOS &gt; '!G153:T166,9,FALSE))*E64+(VLOOKUP(K28,'DATOS &gt; '!G153:T166,10,FALSE))</f>
        <v>#N/A</v>
      </c>
      <c r="F65" s="71" t="s">
        <v>4</v>
      </c>
      <c r="G65" s="351" t="e">
        <f>G64+(VLOOKUP(K28,'DATOS &gt; '!G153:T166,11,FALSE))*G64+(VLOOKUP(K28,'DATOS &gt; '!G153:T166,12,FALSE))</f>
        <v>#N/A</v>
      </c>
      <c r="H65" s="72" t="s">
        <v>5</v>
      </c>
      <c r="I65" s="75" t="e">
        <f>I64+(VLOOKUP(K28,'DATOS &gt; '!G153:T166,13,FALSE))*I64+(VLOOKUP(K28,'DATOS &gt; '!G153:T166,14,FALSE))</f>
        <v>#N/A</v>
      </c>
      <c r="K65" s="73" t="e">
        <f>VLOOKUP($K$62,'DATOS &gt; '!$A$156:$B$159,2,FALSE)</f>
        <v>#N/A</v>
      </c>
      <c r="L65" s="60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822" t="s">
        <v>31</v>
      </c>
      <c r="B67" s="823"/>
      <c r="C67" s="823"/>
      <c r="D67" s="823"/>
      <c r="E67" s="823"/>
      <c r="F67" s="823"/>
      <c r="G67" s="823"/>
      <c r="H67" s="823"/>
      <c r="I67" s="823"/>
      <c r="J67" s="823"/>
      <c r="K67" s="823"/>
      <c r="L67" s="824"/>
    </row>
    <row r="68" spans="1:15" s="31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863" t="s">
        <v>25</v>
      </c>
      <c r="G69" s="864"/>
      <c r="H69" s="864"/>
      <c r="I69" s="864"/>
      <c r="J69" s="865"/>
      <c r="K69" s="1"/>
    </row>
    <row r="70" spans="1:15" s="7" customFormat="1" ht="35.1" customHeight="1" thickBot="1" x14ac:dyDescent="0.25">
      <c r="D70" s="37"/>
      <c r="F70" s="336" t="e">
        <f>G21</f>
        <v>#N/A</v>
      </c>
      <c r="G70" s="337" t="e">
        <f>G22</f>
        <v>#N/A</v>
      </c>
      <c r="H70" s="337" t="e">
        <f>G23</f>
        <v>#N/A</v>
      </c>
      <c r="I70" s="337" t="e">
        <f>G24</f>
        <v>#N/A</v>
      </c>
      <c r="J70" s="338" t="e">
        <f>G25</f>
        <v>#N/A</v>
      </c>
      <c r="K70" s="1"/>
      <c r="L70" s="1"/>
      <c r="M70" s="1"/>
      <c r="N70" s="1"/>
      <c r="O70" s="1"/>
    </row>
    <row r="71" spans="1:15" s="31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828" t="s">
        <v>30</v>
      </c>
      <c r="C72" s="829"/>
      <c r="D72" s="830"/>
      <c r="E72" s="31"/>
      <c r="F72" s="822" t="s">
        <v>45</v>
      </c>
      <c r="G72" s="823"/>
      <c r="H72" s="823"/>
      <c r="I72" s="823"/>
      <c r="J72" s="823"/>
      <c r="K72" s="38" t="s">
        <v>24</v>
      </c>
      <c r="L72" s="39" t="s">
        <v>339</v>
      </c>
    </row>
    <row r="73" spans="1:15" ht="35.1" customHeight="1" x14ac:dyDescent="0.2">
      <c r="A73" s="868" t="s">
        <v>19</v>
      </c>
      <c r="B73" s="869"/>
      <c r="C73" s="869"/>
      <c r="D73" s="869"/>
      <c r="E73" s="869"/>
      <c r="F73" s="198" t="e">
        <f>(J55*$C$39)/(2*$G$34*SQRT(3))</f>
        <v>#DIV/0!</v>
      </c>
      <c r="G73" s="199" t="e">
        <f>(J56*$C$39)/(2*$G$34*SQRT(3))</f>
        <v>#DIV/0!</v>
      </c>
      <c r="H73" s="199" t="e">
        <f>(J57*$C$39)/(2*$G$34*SQRT(3))</f>
        <v>#DIV/0!</v>
      </c>
      <c r="I73" s="199" t="e">
        <f>(J58*$C$39)/(2*$G$34*SQRT(3))</f>
        <v>#DIV/0!</v>
      </c>
      <c r="J73" s="587" t="e">
        <f>(J59*$C$39)/(2*$G$34*SQRT(3))</f>
        <v>#DIV/0!</v>
      </c>
      <c r="K73" s="591" t="s">
        <v>47</v>
      </c>
      <c r="L73" s="582">
        <v>100</v>
      </c>
    </row>
    <row r="74" spans="1:15" ht="35.1" customHeight="1" x14ac:dyDescent="0.2">
      <c r="A74" s="870" t="s">
        <v>20</v>
      </c>
      <c r="B74" s="871"/>
      <c r="C74" s="872"/>
      <c r="D74" s="872"/>
      <c r="E74" s="872"/>
      <c r="F74" s="200" t="e">
        <f>$F$48/SQRT($K$43)</f>
        <v>#DIV/0!</v>
      </c>
      <c r="G74" s="40" t="e">
        <f>$F$48/SQRT($K$43)</f>
        <v>#DIV/0!</v>
      </c>
      <c r="H74" s="40" t="e">
        <f>$F$48/SQRT($K$43)</f>
        <v>#DIV/0!</v>
      </c>
      <c r="I74" s="40" t="e">
        <f>$F$48/SQRT($K$43)</f>
        <v>#DIV/0!</v>
      </c>
      <c r="J74" s="588" t="e">
        <f>$F$48/SQRT($K$43)</f>
        <v>#DIV/0!</v>
      </c>
      <c r="K74" s="592" t="s">
        <v>48</v>
      </c>
      <c r="L74" s="583">
        <f>K43-1</f>
        <v>9</v>
      </c>
    </row>
    <row r="75" spans="1:15" ht="35.1" customHeight="1" thickBot="1" x14ac:dyDescent="0.25">
      <c r="A75" s="875" t="s">
        <v>338</v>
      </c>
      <c r="B75" s="876"/>
      <c r="C75" s="877"/>
      <c r="D75" s="877"/>
      <c r="E75" s="877"/>
      <c r="F75" s="200" t="e">
        <f t="shared" ref="F75:J76" si="0">($D$14*1000)/SQRT(12)</f>
        <v>#N/A</v>
      </c>
      <c r="G75" s="40" t="e">
        <f t="shared" si="0"/>
        <v>#N/A</v>
      </c>
      <c r="H75" s="40" t="e">
        <f t="shared" si="0"/>
        <v>#N/A</v>
      </c>
      <c r="I75" s="40" t="e">
        <f t="shared" si="0"/>
        <v>#N/A</v>
      </c>
      <c r="J75" s="588" t="e">
        <f t="shared" si="0"/>
        <v>#N/A</v>
      </c>
      <c r="K75" s="592" t="s">
        <v>47</v>
      </c>
      <c r="L75" s="584">
        <v>100</v>
      </c>
    </row>
    <row r="76" spans="1:15" ht="35.1" customHeight="1" thickBot="1" x14ac:dyDescent="0.25">
      <c r="A76" s="873" t="s">
        <v>341</v>
      </c>
      <c r="B76" s="874"/>
      <c r="C76" s="847"/>
      <c r="D76" s="847"/>
      <c r="E76" s="847"/>
      <c r="F76" s="586" t="e">
        <f t="shared" si="0"/>
        <v>#N/A</v>
      </c>
      <c r="G76" s="581" t="e">
        <f t="shared" si="0"/>
        <v>#N/A</v>
      </c>
      <c r="H76" s="581" t="e">
        <f t="shared" si="0"/>
        <v>#N/A</v>
      </c>
      <c r="I76" s="581" t="e">
        <f t="shared" si="0"/>
        <v>#N/A</v>
      </c>
      <c r="J76" s="589" t="e">
        <f t="shared" si="0"/>
        <v>#N/A</v>
      </c>
      <c r="K76" s="593" t="s">
        <v>47</v>
      </c>
      <c r="L76" s="585">
        <v>100</v>
      </c>
    </row>
    <row r="77" spans="1:15" ht="35.1" customHeight="1" thickBot="1" x14ac:dyDescent="0.25">
      <c r="A77" s="34"/>
      <c r="B77" s="34"/>
      <c r="C77" s="845"/>
      <c r="D77" s="846"/>
      <c r="E77" s="846"/>
      <c r="F77" s="580" t="e">
        <f>SQRT((F73)^2+(F74)^2+(F75)^2+(F76)^2)</f>
        <v>#DIV/0!</v>
      </c>
      <c r="G77" s="580" t="e">
        <f>SQRT((G73)^2+(G74)^2+(G75)^2+(G76)^2)</f>
        <v>#DIV/0!</v>
      </c>
      <c r="H77" s="580" t="e">
        <f>SQRT((H73)^2+(H74)^2+(H75)^2+(H76)^2)</f>
        <v>#DIV/0!</v>
      </c>
      <c r="I77" s="580" t="e">
        <f>SQRT((I73)^2+(I74)^2+(I75)^2+(I76)^2)</f>
        <v>#DIV/0!</v>
      </c>
      <c r="J77" s="590" t="e">
        <f>SQRT((J73)^2+(J74)^2+(J75)^2+(J76)^2)</f>
        <v>#DIV/0!</v>
      </c>
      <c r="K77" s="594" t="s">
        <v>48</v>
      </c>
      <c r="L77" s="7"/>
    </row>
    <row r="78" spans="1:15" ht="34.5" customHeight="1" thickBot="1" x14ac:dyDescent="0.25">
      <c r="A78" s="34"/>
      <c r="B78" s="34"/>
      <c r="C78" s="34"/>
      <c r="D78" s="34"/>
      <c r="F78" s="860" t="s">
        <v>257</v>
      </c>
      <c r="G78" s="861"/>
      <c r="H78" s="861"/>
      <c r="I78" s="861"/>
      <c r="J78" s="862"/>
      <c r="K78" s="1"/>
    </row>
    <row r="79" spans="1:15" ht="35.1" customHeight="1" x14ac:dyDescent="0.2">
      <c r="A79" s="868" t="s">
        <v>22</v>
      </c>
      <c r="B79" s="869"/>
      <c r="C79" s="953"/>
      <c r="D79" s="953"/>
      <c r="E79" s="954"/>
      <c r="F79" s="186" t="e">
        <f>I21/L32</f>
        <v>#N/A</v>
      </c>
      <c r="G79" s="187" t="e">
        <f>I22/L32</f>
        <v>#N/A</v>
      </c>
      <c r="H79" s="187" t="e">
        <f>I23/L32</f>
        <v>#N/A</v>
      </c>
      <c r="I79" s="187" t="e">
        <f>I24/L32</f>
        <v>#N/A</v>
      </c>
      <c r="J79" s="187" t="e">
        <f>I25/L32</f>
        <v>#N/A</v>
      </c>
      <c r="K79" s="350" t="s">
        <v>48</v>
      </c>
      <c r="L79" s="188">
        <v>100</v>
      </c>
    </row>
    <row r="80" spans="1:15" ht="35.1" customHeight="1" x14ac:dyDescent="0.2">
      <c r="A80" s="951" t="s">
        <v>23</v>
      </c>
      <c r="B80" s="952"/>
      <c r="C80" s="843"/>
      <c r="D80" s="843"/>
      <c r="E80" s="844"/>
      <c r="F80" s="189" t="e">
        <f>(3*I21)/(4*SQRT(3))</f>
        <v>#N/A</v>
      </c>
      <c r="G80" s="41" t="e">
        <f>(3*I22)/(4*SQRT(3))</f>
        <v>#N/A</v>
      </c>
      <c r="H80" s="41" t="e">
        <f>(3*I23)/(4*SQRT(3))</f>
        <v>#N/A</v>
      </c>
      <c r="I80" s="41" t="e">
        <f>(3*I24)/(4*SQRT(3))</f>
        <v>#N/A</v>
      </c>
      <c r="J80" s="41" t="e">
        <f>(3*I25)/(4*SQRT(3))</f>
        <v>#N/A</v>
      </c>
      <c r="K80" s="33" t="s">
        <v>47</v>
      </c>
      <c r="L80" s="190">
        <v>100</v>
      </c>
    </row>
    <row r="81" spans="1:20" ht="35.1" customHeight="1" thickBot="1" x14ac:dyDescent="0.25">
      <c r="A81" s="947" t="s">
        <v>29</v>
      </c>
      <c r="B81" s="948"/>
      <c r="C81" s="942"/>
      <c r="D81" s="942"/>
      <c r="E81" s="943"/>
      <c r="F81" s="191" t="e">
        <f>I21/SQRT(3)</f>
        <v>#N/A</v>
      </c>
      <c r="G81" s="192" t="e">
        <f>I22/SQRT(3)</f>
        <v>#N/A</v>
      </c>
      <c r="H81" s="192" t="e">
        <f>I23/SQRT(3)</f>
        <v>#N/A</v>
      </c>
      <c r="I81" s="192" t="e">
        <f>I24/SQRT(3)</f>
        <v>#N/A</v>
      </c>
      <c r="J81" s="192" t="e">
        <f>I25/SQRT(3)</f>
        <v>#N/A</v>
      </c>
      <c r="K81" s="193" t="s">
        <v>47</v>
      </c>
      <c r="L81" s="194">
        <v>100</v>
      </c>
    </row>
    <row r="82" spans="1:20" ht="35.1" customHeight="1" thickBot="1" x14ac:dyDescent="0.25">
      <c r="C82" s="944"/>
      <c r="D82" s="945"/>
      <c r="E82" s="946"/>
      <c r="F82" s="195" t="e">
        <f>SQRT(F79^2+F80^2+F81^2)</f>
        <v>#N/A</v>
      </c>
      <c r="G82" s="196" t="e">
        <f>SQRT(G79^2+G80^2+G81^2)</f>
        <v>#N/A</v>
      </c>
      <c r="H82" s="196" t="e">
        <f>SQRT(H79^2+H80^2+H81^2)</f>
        <v>#N/A</v>
      </c>
      <c r="I82" s="196" t="e">
        <f>SQRT(I79^2+I80^2+I81^2)</f>
        <v>#N/A</v>
      </c>
      <c r="J82" s="196" t="e">
        <f>SQRT(J79^2+J80^2+J81^2)</f>
        <v>#N/A</v>
      </c>
      <c r="K82" s="197" t="s">
        <v>48</v>
      </c>
      <c r="L82" s="74"/>
      <c r="N82" s="341"/>
    </row>
    <row r="83" spans="1:20" ht="35.1" customHeight="1" thickBot="1" x14ac:dyDescent="0.25">
      <c r="C83" s="1"/>
      <c r="D83" s="1"/>
      <c r="F83" s="848" t="s">
        <v>258</v>
      </c>
      <c r="G83" s="849"/>
      <c r="H83" s="849"/>
      <c r="I83" s="849"/>
      <c r="J83" s="850"/>
      <c r="K83" s="1"/>
      <c r="N83" s="344"/>
    </row>
    <row r="84" spans="1:20" ht="35.1" customHeight="1" thickBot="1" x14ac:dyDescent="0.25">
      <c r="B84" s="1"/>
      <c r="C84" s="180"/>
      <c r="D84" s="181"/>
      <c r="E84" s="182"/>
      <c r="F84" s="352" t="e">
        <f>SQRT((F77)^2+(F82)^2)</f>
        <v>#DIV/0!</v>
      </c>
      <c r="G84" s="353" t="e">
        <f>SQRT((G77)^2+(G82)^2)</f>
        <v>#DIV/0!</v>
      </c>
      <c r="H84" s="353" t="e">
        <f>SQRT((H77)^2+(H82)^2)</f>
        <v>#DIV/0!</v>
      </c>
      <c r="I84" s="353" t="e">
        <f>SQRT((I77)^2+(I82)^2)</f>
        <v>#DIV/0!</v>
      </c>
      <c r="J84" s="354" t="e">
        <f>SQRT((J77)^2+(J82)^2)</f>
        <v>#DIV/0!</v>
      </c>
    </row>
    <row r="85" spans="1:20" s="7" customFormat="1" ht="9.9499999999999993" customHeight="1" thickBot="1" x14ac:dyDescent="0.25">
      <c r="A85" s="42"/>
      <c r="B85" s="42"/>
      <c r="D85" s="36"/>
      <c r="F85" s="355"/>
      <c r="G85" s="355"/>
      <c r="H85" s="355"/>
      <c r="I85" s="355"/>
      <c r="J85" s="355"/>
    </row>
    <row r="86" spans="1:20" s="31" customFormat="1" ht="35.1" customHeight="1" thickBot="1" x14ac:dyDescent="0.25">
      <c r="F86" s="825" t="s">
        <v>26</v>
      </c>
      <c r="G86" s="826"/>
      <c r="H86" s="826"/>
      <c r="I86" s="826"/>
      <c r="J86" s="827"/>
    </row>
    <row r="87" spans="1:20" ht="15.75" thickBot="1" x14ac:dyDescent="0.25">
      <c r="B87" s="1"/>
      <c r="C87" s="26"/>
      <c r="D87" s="26"/>
      <c r="F87" s="851" t="s">
        <v>53</v>
      </c>
      <c r="G87" s="852"/>
      <c r="H87" s="852"/>
      <c r="I87" s="852"/>
      <c r="J87" s="853"/>
      <c r="N87" s="342">
        <v>0.3</v>
      </c>
      <c r="O87" s="342">
        <v>1.65</v>
      </c>
      <c r="P87" s="343"/>
      <c r="Q87" s="31"/>
      <c r="R87" s="31"/>
      <c r="S87" s="31"/>
      <c r="T87" s="31"/>
    </row>
    <row r="88" spans="1:20" ht="35.1" customHeight="1" thickBot="1" x14ac:dyDescent="0.25">
      <c r="A88" s="936" t="s">
        <v>74</v>
      </c>
      <c r="B88" s="937"/>
      <c r="C88" s="937"/>
      <c r="D88" s="940"/>
      <c r="E88" s="940"/>
      <c r="F88" s="174">
        <v>100</v>
      </c>
      <c r="G88" s="221">
        <v>100</v>
      </c>
      <c r="H88" s="221">
        <v>100</v>
      </c>
      <c r="I88" s="221">
        <v>100</v>
      </c>
      <c r="J88" s="175">
        <v>100</v>
      </c>
      <c r="N88" s="971" t="s">
        <v>284</v>
      </c>
      <c r="O88" s="972"/>
      <c r="P88" s="973"/>
      <c r="Q88" s="31"/>
      <c r="R88" s="31"/>
      <c r="S88" s="31"/>
      <c r="T88" s="31"/>
    </row>
    <row r="89" spans="1:20" ht="35.1" customHeight="1" thickBot="1" x14ac:dyDescent="0.25">
      <c r="A89" s="935" t="s">
        <v>75</v>
      </c>
      <c r="B89" s="841"/>
      <c r="C89" s="841"/>
      <c r="D89" s="941"/>
      <c r="E89" s="941"/>
      <c r="F89" s="176">
        <f>$K$43-1</f>
        <v>9</v>
      </c>
      <c r="G89" s="43">
        <f>$K$43-1</f>
        <v>9</v>
      </c>
      <c r="H89" s="43">
        <f>$K$43-1</f>
        <v>9</v>
      </c>
      <c r="I89" s="43">
        <f>$K$43-1</f>
        <v>9</v>
      </c>
      <c r="J89" s="177">
        <f>$K$43-1</f>
        <v>9</v>
      </c>
      <c r="K89" s="441" t="s">
        <v>277</v>
      </c>
      <c r="L89" s="442" t="e">
        <f>MAX(J73:J76,J79:J81)</f>
        <v>#DIV/0!</v>
      </c>
      <c r="M89" s="451" t="e">
        <f>IF((L90)&lt;=(N87),"165","k=2")</f>
        <v>#DIV/0!</v>
      </c>
      <c r="N89" s="445" t="s">
        <v>278</v>
      </c>
      <c r="O89" s="446" t="s">
        <v>279</v>
      </c>
      <c r="P89" s="447" t="s">
        <v>280</v>
      </c>
      <c r="Q89" s="31"/>
      <c r="R89" s="31"/>
      <c r="S89" s="31"/>
      <c r="T89" s="31"/>
    </row>
    <row r="90" spans="1:20" ht="35.1" customHeight="1" thickBot="1" x14ac:dyDescent="0.25">
      <c r="A90" s="949" t="s">
        <v>76</v>
      </c>
      <c r="B90" s="950"/>
      <c r="C90" s="950"/>
      <c r="D90" s="939"/>
      <c r="E90" s="939"/>
      <c r="F90" s="176">
        <v>100</v>
      </c>
      <c r="G90" s="43">
        <v>100</v>
      </c>
      <c r="H90" s="43">
        <v>100</v>
      </c>
      <c r="I90" s="43">
        <v>100</v>
      </c>
      <c r="J90" s="177">
        <v>100</v>
      </c>
      <c r="K90" s="443" t="s">
        <v>281</v>
      </c>
      <c r="L90" s="444" t="e">
        <f>SQRT((J73)^2+(J74)^2+J79^2+J80^2+J81^2)/J76</f>
        <v>#DIV/0!</v>
      </c>
      <c r="M90" s="340"/>
      <c r="N90" s="448" t="s">
        <v>278</v>
      </c>
      <c r="O90" s="449" t="s">
        <v>282</v>
      </c>
      <c r="P90" s="450" t="s">
        <v>283</v>
      </c>
      <c r="Q90" s="31"/>
      <c r="R90" s="31"/>
      <c r="S90" s="31"/>
      <c r="T90" s="31"/>
    </row>
    <row r="91" spans="1:20" ht="50.1" customHeight="1" thickBot="1" x14ac:dyDescent="0.25">
      <c r="B91" s="183"/>
      <c r="C91" s="184"/>
      <c r="D91" s="348"/>
      <c r="E91" s="185"/>
      <c r="F91" s="215" t="e">
        <f>F77^4/(F73^4/100+(F74^4/($K$43-1))+(F75^4/100)+(F76^4/100))</f>
        <v>#DIV/0!</v>
      </c>
      <c r="G91" s="216" t="e">
        <f>G77^4/(G73^4/100+(G74^4/($K$43-1))+(G75^4/100)+(G76^4/100))</f>
        <v>#DIV/0!</v>
      </c>
      <c r="H91" s="216" t="e">
        <f>H77^4/(H73^4/100+(H74^4/($K$43-1))+(H75^4/100)+(H76^4/100))</f>
        <v>#DIV/0!</v>
      </c>
      <c r="I91" s="216" t="e">
        <f>I77^4/(I73^4/100+(I74^4/($K$43-1))+(I75^4/100)+(I76^4/100))</f>
        <v>#DIV/0!</v>
      </c>
      <c r="J91" s="217" t="e">
        <f>J77^4/(J73^4/100+(J74^4/($K$43-1))+(J75^4/100)+(J76^4/100))</f>
        <v>#DIV/0!</v>
      </c>
      <c r="K91" s="1"/>
      <c r="Q91" s="31"/>
      <c r="R91" s="31"/>
      <c r="S91" s="31"/>
      <c r="T91" s="31"/>
    </row>
    <row r="92" spans="1:20" ht="35.1" customHeight="1" thickBot="1" x14ac:dyDescent="0.25">
      <c r="B92" s="1"/>
      <c r="C92" s="26"/>
      <c r="D92" s="26"/>
      <c r="E92" s="26"/>
      <c r="F92" s="837" t="s">
        <v>52</v>
      </c>
      <c r="G92" s="838"/>
      <c r="H92" s="838"/>
      <c r="I92" s="838"/>
      <c r="J92" s="839"/>
      <c r="Q92" s="31"/>
      <c r="R92" s="31"/>
      <c r="S92" s="31"/>
      <c r="T92" s="31"/>
    </row>
    <row r="93" spans="1:20" ht="35.1" customHeight="1" x14ac:dyDescent="0.2">
      <c r="A93" s="840" t="s">
        <v>77</v>
      </c>
      <c r="B93" s="841"/>
      <c r="C93" s="841"/>
      <c r="D93" s="842"/>
      <c r="E93" s="842"/>
      <c r="F93" s="174">
        <v>100</v>
      </c>
      <c r="G93" s="221">
        <v>100</v>
      </c>
      <c r="H93" s="221">
        <v>100</v>
      </c>
      <c r="I93" s="221">
        <v>100</v>
      </c>
      <c r="J93" s="175">
        <v>100</v>
      </c>
      <c r="Q93" s="31"/>
      <c r="R93" s="31"/>
      <c r="S93" s="31"/>
      <c r="T93" s="31"/>
    </row>
    <row r="94" spans="1:20" ht="35.1" customHeight="1" x14ac:dyDescent="0.2">
      <c r="A94" s="840" t="s">
        <v>78</v>
      </c>
      <c r="B94" s="841"/>
      <c r="C94" s="841"/>
      <c r="D94" s="842"/>
      <c r="E94" s="842"/>
      <c r="F94" s="176" t="s">
        <v>364</v>
      </c>
      <c r="G94" s="43">
        <v>100</v>
      </c>
      <c r="H94" s="43">
        <v>100</v>
      </c>
      <c r="I94" s="43">
        <v>100</v>
      </c>
      <c r="J94" s="177">
        <v>100</v>
      </c>
      <c r="K94" s="1"/>
      <c r="Q94" s="31"/>
      <c r="R94" s="31"/>
      <c r="S94" s="31"/>
      <c r="T94" s="31"/>
    </row>
    <row r="95" spans="1:20" ht="35.1" customHeight="1" x14ac:dyDescent="0.25">
      <c r="A95" s="840" t="s">
        <v>79</v>
      </c>
      <c r="B95" s="841"/>
      <c r="C95" s="841"/>
      <c r="D95" s="842"/>
      <c r="E95" s="842"/>
      <c r="F95" s="176">
        <v>100</v>
      </c>
      <c r="G95" s="43">
        <v>100</v>
      </c>
      <c r="H95" s="43">
        <v>100</v>
      </c>
      <c r="I95" s="43">
        <v>100</v>
      </c>
      <c r="J95" s="177">
        <v>100</v>
      </c>
      <c r="K95" s="376"/>
      <c r="Q95" s="31"/>
      <c r="R95" s="31"/>
      <c r="S95" s="31"/>
      <c r="T95" s="31"/>
    </row>
    <row r="96" spans="1:20" ht="50.1" customHeight="1" thickBot="1" x14ac:dyDescent="0.25">
      <c r="B96" s="938"/>
      <c r="C96" s="938"/>
      <c r="D96" s="938"/>
      <c r="E96" s="840"/>
      <c r="F96" s="356" t="e">
        <f>F82^4/((F79^4/100)+(F80^4/100)+(F81^4/100))</f>
        <v>#N/A</v>
      </c>
      <c r="G96" s="357" t="e">
        <f>G82^4/((G79^4/100)+(G80^4/100)+(G81^4/100))</f>
        <v>#N/A</v>
      </c>
      <c r="H96" s="357" t="e">
        <f>H82^4/((H79^4/100)+(H80^4/100)+(H81^4/100))</f>
        <v>#N/A</v>
      </c>
      <c r="I96" s="357" t="e">
        <f>I82^4/((I79^4/100)+(I80^4/100)+(I81^4/100))</f>
        <v>#N/A</v>
      </c>
      <c r="J96" s="358" t="e">
        <f>J82^4/((J79^4/100)+(J80^4/100)+(J81^4/100))</f>
        <v>#N/A</v>
      </c>
      <c r="Q96" s="31"/>
      <c r="R96" s="31"/>
      <c r="S96" s="31"/>
      <c r="T96" s="31"/>
    </row>
    <row r="97" spans="1:13" ht="35.1" customHeight="1" thickBot="1" x14ac:dyDescent="0.25">
      <c r="B97" s="1"/>
      <c r="C97" s="1"/>
      <c r="D97" s="1"/>
      <c r="E97" s="1"/>
      <c r="F97" s="834" t="s">
        <v>27</v>
      </c>
      <c r="G97" s="835"/>
      <c r="H97" s="835"/>
      <c r="I97" s="835"/>
      <c r="J97" s="836"/>
      <c r="K97" s="1"/>
    </row>
    <row r="98" spans="1:13" ht="50.1" customHeight="1" x14ac:dyDescent="0.2">
      <c r="B98" s="7"/>
      <c r="C98" s="964"/>
      <c r="D98" s="843"/>
      <c r="E98" s="965"/>
      <c r="F98" s="44" t="e">
        <f>F84^4/((F77^4/F91)+(F82^4/F96))</f>
        <v>#DIV/0!</v>
      </c>
      <c r="G98" s="45" t="e">
        <f>G84^4/((G77^4/G91)+(G82^4/G96))</f>
        <v>#DIV/0!</v>
      </c>
      <c r="H98" s="45" t="e">
        <f>H84^4/((H77^4/H91)+(H82^4/H96))</f>
        <v>#DIV/0!</v>
      </c>
      <c r="I98" s="45" t="e">
        <f>I84^4/((I77^4/I91)+(I82^4/I96))</f>
        <v>#DIV/0!</v>
      </c>
      <c r="J98" s="45" t="e">
        <f>J84^4/((J77^4/J91)+(J82^4/J96))</f>
        <v>#DIV/0!</v>
      </c>
      <c r="K98" s="1"/>
    </row>
    <row r="99" spans="1:13" s="7" customFormat="1" ht="9.9499999999999993" customHeight="1" thickBot="1" x14ac:dyDescent="0.25">
      <c r="B99" s="42"/>
      <c r="C99" s="42"/>
      <c r="E99" s="36"/>
    </row>
    <row r="100" spans="1:13" ht="35.1" customHeight="1" thickBot="1" x14ac:dyDescent="0.25">
      <c r="B100" s="1"/>
      <c r="C100" s="1"/>
      <c r="D100" s="1"/>
      <c r="E100" s="1"/>
      <c r="F100" s="834" t="s">
        <v>28</v>
      </c>
      <c r="G100" s="835"/>
      <c r="H100" s="835"/>
      <c r="I100" s="835"/>
      <c r="J100" s="836"/>
      <c r="K100" s="1"/>
    </row>
    <row r="101" spans="1:13" ht="35.1" customHeight="1" thickBot="1" x14ac:dyDescent="0.25">
      <c r="B101" s="183"/>
      <c r="C101" s="252"/>
      <c r="D101" s="184"/>
      <c r="E101" s="182"/>
      <c r="F101" s="359" t="e">
        <f>_xlfn.T.INV.2T(100%-$I$103,F98)</f>
        <v>#DIV/0!</v>
      </c>
      <c r="G101" s="360" t="e">
        <f>_xlfn.T.INV.2T(100%-$I$103,G98)</f>
        <v>#DIV/0!</v>
      </c>
      <c r="H101" s="360" t="e">
        <f>_xlfn.T.INV.2T(100%-$I$103,H98)</f>
        <v>#DIV/0!</v>
      </c>
      <c r="I101" s="360" t="e">
        <f>_xlfn.T.INV.2T(100%-$I$103,I98)</f>
        <v>#DIV/0!</v>
      </c>
      <c r="J101" s="360" t="e">
        <f>_xlfn.T.INV.2T(100%-$I$103,J98)</f>
        <v>#DIV/0!</v>
      </c>
      <c r="K101" s="1"/>
    </row>
    <row r="102" spans="1:13" ht="9.9499999999999993" customHeight="1" thickBot="1" x14ac:dyDescent="0.25">
      <c r="K102" s="1"/>
    </row>
    <row r="103" spans="1:13" ht="35.1" customHeight="1" thickBot="1" x14ac:dyDescent="0.25">
      <c r="F103" s="831" t="s">
        <v>54</v>
      </c>
      <c r="G103" s="832"/>
      <c r="H103" s="833"/>
      <c r="I103" s="253">
        <f>'DATOS &gt; '!K8</f>
        <v>0.95</v>
      </c>
      <c r="L103" s="6"/>
    </row>
    <row r="104" spans="1:13" s="31" customFormat="1" ht="9.9499999999999993" customHeight="1" thickBot="1" x14ac:dyDescent="0.25">
      <c r="F104" s="46"/>
      <c r="G104" s="46"/>
      <c r="H104" s="46"/>
      <c r="I104" s="47"/>
      <c r="J104" s="47"/>
    </row>
    <row r="105" spans="1:13" s="31" customFormat="1" ht="35.1" customHeight="1" thickBot="1" x14ac:dyDescent="0.25">
      <c r="B105" s="962" t="s">
        <v>235</v>
      </c>
      <c r="C105" s="963"/>
      <c r="D105" s="963"/>
      <c r="E105" s="69"/>
      <c r="F105" s="254" t="e">
        <f>F84*F101</f>
        <v>#DIV/0!</v>
      </c>
      <c r="G105" s="255" t="e">
        <f>G84*G101</f>
        <v>#DIV/0!</v>
      </c>
      <c r="H105" s="255" t="e">
        <f>H84*H101</f>
        <v>#DIV/0!</v>
      </c>
      <c r="I105" s="255" t="e">
        <f>I84*I101</f>
        <v>#DIV/0!</v>
      </c>
      <c r="J105" s="256" t="e">
        <f>J84*J101</f>
        <v>#DIV/0!</v>
      </c>
    </row>
    <row r="106" spans="1:13" s="31" customFormat="1" ht="35.1" customHeight="1" thickBot="1" x14ac:dyDescent="0.25">
      <c r="B106" s="887" t="s">
        <v>236</v>
      </c>
      <c r="C106" s="888"/>
      <c r="D106" s="888"/>
      <c r="E106" s="76"/>
      <c r="F106" s="257" t="e">
        <f>F105/1000</f>
        <v>#DIV/0!</v>
      </c>
      <c r="G106" s="258" t="e">
        <f>G105/1000</f>
        <v>#DIV/0!</v>
      </c>
      <c r="H106" s="258" t="e">
        <f>H105/1000</f>
        <v>#DIV/0!</v>
      </c>
      <c r="I106" s="259" t="e">
        <f>I105/1000</f>
        <v>#DIV/0!</v>
      </c>
      <c r="J106" s="260" t="e">
        <f>J105/1000</f>
        <v>#DIV/0!</v>
      </c>
    </row>
    <row r="107" spans="1:13" s="31" customFormat="1" ht="33" customHeight="1" thickBot="1" x14ac:dyDescent="0.25">
      <c r="E107" s="46"/>
      <c r="F107" s="46"/>
      <c r="G107" s="46"/>
      <c r="H107" s="47"/>
      <c r="I107" s="47"/>
      <c r="J107" s="48"/>
      <c r="K107" s="48"/>
      <c r="L107" s="48"/>
      <c r="M107" s="48"/>
    </row>
    <row r="108" spans="1:13" s="31" customFormat="1" ht="35.1" customHeight="1" thickBot="1" x14ac:dyDescent="0.25">
      <c r="A108" s="834" t="s">
        <v>259</v>
      </c>
      <c r="B108" s="835"/>
      <c r="C108" s="835"/>
      <c r="D108" s="835"/>
      <c r="E108" s="835"/>
      <c r="F108" s="835"/>
      <c r="G108" s="836"/>
      <c r="I108" s="882" t="s">
        <v>86</v>
      </c>
      <c r="J108" s="883"/>
      <c r="K108" s="884"/>
    </row>
    <row r="109" spans="1:13" s="31" customFormat="1" ht="35.1" customHeight="1" x14ac:dyDescent="0.2">
      <c r="A109" s="261" t="s">
        <v>33</v>
      </c>
      <c r="B109" s="262" t="s">
        <v>34</v>
      </c>
      <c r="C109" s="262" t="s">
        <v>92</v>
      </c>
      <c r="D109" s="262" t="s">
        <v>93</v>
      </c>
      <c r="E109" s="263" t="s">
        <v>37</v>
      </c>
      <c r="F109" s="264"/>
      <c r="G109" s="885" t="s">
        <v>94</v>
      </c>
      <c r="I109" s="889"/>
      <c r="J109" s="890"/>
      <c r="K109" s="891"/>
    </row>
    <row r="110" spans="1:13" s="31" customFormat="1" ht="35.1" customHeight="1" thickBot="1" x14ac:dyDescent="0.25">
      <c r="A110" s="265"/>
      <c r="B110" s="266"/>
      <c r="C110" s="266"/>
      <c r="D110" s="567"/>
      <c r="E110" s="267"/>
      <c r="F110" s="268"/>
      <c r="G110" s="886"/>
      <c r="I110" s="892"/>
      <c r="J110" s="893"/>
      <c r="K110" s="894"/>
    </row>
    <row r="111" spans="1:13" s="31" customFormat="1" ht="35.1" customHeight="1" x14ac:dyDescent="0.2">
      <c r="A111" s="269" t="e">
        <f>(1/F84)^2</f>
        <v>#DIV/0!</v>
      </c>
      <c r="B111" s="270" t="e">
        <f>A111*J55*L55</f>
        <v>#DIV/0!</v>
      </c>
      <c r="C111" s="270" t="e">
        <f>(J55)^2*A111</f>
        <v>#DIV/0!</v>
      </c>
      <c r="D111" s="270" t="e">
        <f>((($B$119*$E$120)+($B$120*(J55^2))))</f>
        <v>#DIV/0!</v>
      </c>
      <c r="E111" s="271" t="e">
        <f>SQRT($E$120+D111)</f>
        <v>#N/A</v>
      </c>
      <c r="F111" s="272"/>
      <c r="G111" s="273" t="e">
        <f>A111*($B$118*J55-L55)^2</f>
        <v>#DIV/0!</v>
      </c>
      <c r="H111" s="571"/>
      <c r="I111" s="892"/>
      <c r="J111" s="893"/>
      <c r="K111" s="894"/>
    </row>
    <row r="112" spans="1:13" s="31" customFormat="1" ht="35.1" customHeight="1" x14ac:dyDescent="0.2">
      <c r="A112" s="274" t="e">
        <f>(1/G84)^2</f>
        <v>#DIV/0!</v>
      </c>
      <c r="B112" s="49" t="e">
        <f>A112*J56*L56</f>
        <v>#DIV/0!</v>
      </c>
      <c r="C112" s="49" t="e">
        <f>(J56)^2*A112</f>
        <v>#DIV/0!</v>
      </c>
      <c r="D112" s="49" t="e">
        <f>$B$119*$E$120+$B$120*J56^2</f>
        <v>#DIV/0!</v>
      </c>
      <c r="E112" s="50" t="e">
        <f>SQRT($E$120+D112)</f>
        <v>#N/A</v>
      </c>
      <c r="F112" s="51"/>
      <c r="G112" s="275" t="e">
        <f>A112*($B$118*J56-L56)^2</f>
        <v>#DIV/0!</v>
      </c>
      <c r="I112" s="892"/>
      <c r="J112" s="893"/>
      <c r="K112" s="894"/>
    </row>
    <row r="113" spans="1:12" s="31" customFormat="1" ht="35.1" customHeight="1" x14ac:dyDescent="0.2">
      <c r="A113" s="274" t="e">
        <f>(1/H84)^2</f>
        <v>#DIV/0!</v>
      </c>
      <c r="B113" s="49" t="e">
        <f>A113*J57*L57</f>
        <v>#DIV/0!</v>
      </c>
      <c r="C113" s="49" t="e">
        <f>(J57)^2*A113</f>
        <v>#DIV/0!</v>
      </c>
      <c r="D113" s="49" t="e">
        <f>$B$119*$E$120+$B$120*J57^2</f>
        <v>#DIV/0!</v>
      </c>
      <c r="E113" s="50" t="e">
        <f>SQRT($E$120+D113)</f>
        <v>#N/A</v>
      </c>
      <c r="F113" s="52"/>
      <c r="G113" s="275" t="e">
        <f>A113*($B$118*J57-L57)^2</f>
        <v>#DIV/0!</v>
      </c>
      <c r="I113" s="892"/>
      <c r="J113" s="893"/>
      <c r="K113" s="894"/>
    </row>
    <row r="114" spans="1:12" s="31" customFormat="1" ht="35.1" customHeight="1" x14ac:dyDescent="0.2">
      <c r="A114" s="274" t="e">
        <f>(1/I84)^2</f>
        <v>#DIV/0!</v>
      </c>
      <c r="B114" s="49" t="e">
        <f>A114*J58*L58</f>
        <v>#DIV/0!</v>
      </c>
      <c r="C114" s="49" t="e">
        <f>(J58)^2*A114</f>
        <v>#DIV/0!</v>
      </c>
      <c r="D114" s="49" t="e">
        <f>$B$119*$E$120+$B$120*J58^2</f>
        <v>#DIV/0!</v>
      </c>
      <c r="E114" s="50" t="e">
        <f>SQRT($E$120+D114)</f>
        <v>#N/A</v>
      </c>
      <c r="F114" s="51"/>
      <c r="G114" s="275" t="e">
        <f>A114*($B$118*J58-L58)^2</f>
        <v>#DIV/0!</v>
      </c>
      <c r="I114" s="892"/>
      <c r="J114" s="893"/>
      <c r="K114" s="894"/>
    </row>
    <row r="115" spans="1:12" s="31" customFormat="1" ht="35.1" customHeight="1" thickBot="1" x14ac:dyDescent="0.25">
      <c r="A115" s="274" t="e">
        <f>(1/J84)^2</f>
        <v>#DIV/0!</v>
      </c>
      <c r="B115" s="49" t="e">
        <f>A115*J59*L59</f>
        <v>#DIV/0!</v>
      </c>
      <c r="C115" s="49" t="e">
        <f>(J59)^2*A115</f>
        <v>#DIV/0!</v>
      </c>
      <c r="D115" s="49" t="e">
        <f>$B$119*$E$120+$B$120*J59^2</f>
        <v>#DIV/0!</v>
      </c>
      <c r="E115" s="279" t="e">
        <f>SQRT($E$120+D115)</f>
        <v>#N/A</v>
      </c>
      <c r="F115" s="280"/>
      <c r="G115" s="275" t="e">
        <f>A115*($B$118*J59-L59)^2</f>
        <v>#DIV/0!</v>
      </c>
      <c r="I115" s="892"/>
      <c r="J115" s="893"/>
      <c r="K115" s="894"/>
    </row>
    <row r="116" spans="1:12" s="6" customFormat="1" ht="27" customHeight="1" thickBot="1" x14ac:dyDescent="0.25">
      <c r="A116" s="276" t="s">
        <v>35</v>
      </c>
      <c r="B116" s="596" t="e">
        <f>SUM(B111:B115)</f>
        <v>#DIV/0!</v>
      </c>
      <c r="C116" s="596" t="e">
        <f>SUM(C111:C115)</f>
        <v>#DIV/0!</v>
      </c>
      <c r="D116" s="277"/>
      <c r="E116" s="281" t="s">
        <v>95</v>
      </c>
      <c r="F116" s="282"/>
      <c r="G116" s="278" t="e">
        <f>SUM(G111:G115)</f>
        <v>#DIV/0!</v>
      </c>
      <c r="I116" s="895"/>
      <c r="J116" s="896"/>
      <c r="K116" s="897"/>
    </row>
    <row r="117" spans="1:12" s="6" customFormat="1" ht="9.9499999999999993" customHeight="1" thickBot="1" x14ac:dyDescent="0.25">
      <c r="B117" s="53"/>
      <c r="C117" s="53"/>
      <c r="D117" s="53"/>
      <c r="E117" s="53"/>
      <c r="F117" s="53"/>
      <c r="G117" s="53"/>
    </row>
    <row r="118" spans="1:12" ht="35.1" customHeight="1" thickBot="1" x14ac:dyDescent="0.25">
      <c r="A118" s="303" t="s">
        <v>96</v>
      </c>
      <c r="B118" s="301" t="e">
        <f>(B116/C116)</f>
        <v>#DIV/0!</v>
      </c>
      <c r="C118" s="288"/>
      <c r="D118" s="288"/>
      <c r="E118" s="288"/>
      <c r="F118" s="296" t="s">
        <v>40</v>
      </c>
      <c r="G118" s="293">
        <v>2</v>
      </c>
      <c r="I118" s="283"/>
      <c r="J118" s="284"/>
      <c r="K118" s="285"/>
    </row>
    <row r="119" spans="1:12" ht="35.1" customHeight="1" thickBot="1" x14ac:dyDescent="0.25">
      <c r="A119" s="302" t="s">
        <v>97</v>
      </c>
      <c r="B119" s="294" t="e">
        <f>B118^2</f>
        <v>#DIV/0!</v>
      </c>
      <c r="C119" s="349" t="s">
        <v>98</v>
      </c>
      <c r="D119" s="282"/>
      <c r="E119" s="299" t="e">
        <f>F48^2</f>
        <v>#DIV/0!</v>
      </c>
      <c r="F119" s="297" t="s">
        <v>41</v>
      </c>
      <c r="G119" s="292">
        <f>G26</f>
        <v>3</v>
      </c>
      <c r="I119" s="286" t="e">
        <f>ABS(G116-G119)</f>
        <v>#DIV/0!</v>
      </c>
      <c r="J119" s="54" t="s">
        <v>36</v>
      </c>
      <c r="K119" s="287">
        <f>G118*SQRT(2*G119)</f>
        <v>4.8989794855663558</v>
      </c>
    </row>
    <row r="120" spans="1:12" ht="35.1" customHeight="1" thickBot="1" x14ac:dyDescent="0.25">
      <c r="A120" s="289" t="s">
        <v>82</v>
      </c>
      <c r="B120" s="290" t="e">
        <f>1/C116</f>
        <v>#DIV/0!</v>
      </c>
      <c r="C120" s="300" t="s">
        <v>99</v>
      </c>
      <c r="D120" s="568"/>
      <c r="E120" s="295" t="e">
        <f>((D14*1000)^2)/12+(E119)</f>
        <v>#N/A</v>
      </c>
      <c r="F120" s="298" t="s">
        <v>60</v>
      </c>
      <c r="G120" s="169" t="e">
        <f>MAX(F101:J101)</f>
        <v>#DIV/0!</v>
      </c>
      <c r="H120" s="291">
        <f>'DATOS &gt; '!J8</f>
        <v>2</v>
      </c>
      <c r="I120" s="957" t="e">
        <f>IF(I119&lt;=K119,"APROBADO","NO APROBADO")</f>
        <v>#DIV/0!</v>
      </c>
      <c r="J120" s="958"/>
      <c r="K120" s="959"/>
    </row>
    <row r="121" spans="1:12" ht="9.9499999999999993" customHeight="1" thickBot="1" x14ac:dyDescent="0.25"/>
    <row r="122" spans="1:12" ht="35.1" customHeight="1" thickBot="1" x14ac:dyDescent="0.25">
      <c r="A122" s="819" t="s">
        <v>81</v>
      </c>
      <c r="B122" s="820"/>
      <c r="C122" s="820"/>
      <c r="D122" s="820"/>
      <c r="E122" s="820"/>
      <c r="F122" s="820"/>
      <c r="G122" s="820"/>
      <c r="H122" s="820"/>
      <c r="I122" s="820"/>
      <c r="J122" s="820"/>
      <c r="K122" s="820"/>
      <c r="L122" s="821"/>
    </row>
    <row r="123" spans="1:12" ht="35.1" customHeight="1" x14ac:dyDescent="0.2">
      <c r="C123" s="304" t="s">
        <v>38</v>
      </c>
      <c r="D123" s="305" t="e">
        <f>SLOPE(E111:E115,G21:G25)</f>
        <v>#N/A</v>
      </c>
      <c r="E123" s="813" t="s">
        <v>83</v>
      </c>
      <c r="F123" s="814"/>
      <c r="G123" s="306" t="s">
        <v>68</v>
      </c>
      <c r="H123" s="307">
        <v>5</v>
      </c>
      <c r="I123" s="1"/>
      <c r="K123" s="1"/>
    </row>
    <row r="124" spans="1:12" ht="35.1" customHeight="1" thickBot="1" x14ac:dyDescent="0.25">
      <c r="C124" s="308" t="s">
        <v>39</v>
      </c>
      <c r="D124" s="203" t="e">
        <f>INTERCEPT(E111:E115,G21:G25)</f>
        <v>#N/A</v>
      </c>
      <c r="E124" s="811" t="s">
        <v>84</v>
      </c>
      <c r="F124" s="812"/>
      <c r="G124" s="309" t="s">
        <v>69</v>
      </c>
      <c r="H124" s="310" t="e">
        <f>D123*H123+D124</f>
        <v>#N/A</v>
      </c>
    </row>
    <row r="125" spans="1:12" ht="35.1" customHeight="1" thickBot="1" x14ac:dyDescent="0.25">
      <c r="L125" s="6"/>
    </row>
    <row r="126" spans="1:12" ht="35.1" customHeight="1" thickBot="1" x14ac:dyDescent="0.25">
      <c r="J126" s="172" t="s">
        <v>63</v>
      </c>
      <c r="K126" s="173" t="s">
        <v>274</v>
      </c>
    </row>
    <row r="127" spans="1:12" ht="35.1" customHeight="1" x14ac:dyDescent="0.2">
      <c r="J127" s="174" t="e">
        <f>G21</f>
        <v>#N/A</v>
      </c>
      <c r="K127" s="175" t="e">
        <f>E111</f>
        <v>#N/A</v>
      </c>
    </row>
    <row r="128" spans="1:12" ht="35.1" customHeight="1" x14ac:dyDescent="0.2">
      <c r="I128" s="14"/>
      <c r="J128" s="176" t="e">
        <f>G22</f>
        <v>#N/A</v>
      </c>
      <c r="K128" s="177" t="e">
        <f>E112</f>
        <v>#N/A</v>
      </c>
      <c r="L128" s="345"/>
    </row>
    <row r="129" spans="1:20" ht="35.1" customHeight="1" x14ac:dyDescent="0.2">
      <c r="I129" s="14"/>
      <c r="J129" s="176" t="e">
        <f>G23</f>
        <v>#N/A</v>
      </c>
      <c r="K129" s="177" t="e">
        <f>E113</f>
        <v>#N/A</v>
      </c>
    </row>
    <row r="130" spans="1:20" ht="35.1" customHeight="1" x14ac:dyDescent="0.2">
      <c r="I130" s="14"/>
      <c r="J130" s="176" t="e">
        <f>G24</f>
        <v>#N/A</v>
      </c>
      <c r="K130" s="177" t="e">
        <f>E114</f>
        <v>#N/A</v>
      </c>
    </row>
    <row r="131" spans="1:20" ht="35.1" customHeight="1" thickBot="1" x14ac:dyDescent="0.25">
      <c r="A131" s="55"/>
      <c r="I131" s="14"/>
      <c r="J131" s="178" t="e">
        <f>G25</f>
        <v>#N/A</v>
      </c>
      <c r="K131" s="179" t="e">
        <f>E115</f>
        <v>#N/A</v>
      </c>
    </row>
    <row r="132" spans="1:20" ht="35.1" customHeight="1" x14ac:dyDescent="0.2">
      <c r="A132" s="55"/>
      <c r="I132" s="14"/>
      <c r="J132" s="14"/>
      <c r="K132" s="14"/>
      <c r="L132" s="14"/>
    </row>
    <row r="133" spans="1:20" ht="9.9499999999999993" customHeight="1" thickBot="1" x14ac:dyDescent="0.25">
      <c r="A133" s="55"/>
      <c r="I133" s="56"/>
      <c r="J133" s="56"/>
      <c r="K133" s="56"/>
      <c r="L133" s="56"/>
    </row>
    <row r="134" spans="1:20" s="6" customFormat="1" ht="35.1" customHeight="1" thickBot="1" x14ac:dyDescent="0.25">
      <c r="B134" s="311" t="s">
        <v>100</v>
      </c>
      <c r="C134" s="312"/>
      <c r="D134" s="369" t="e">
        <f>B118*E119</f>
        <v>#DIV/0!</v>
      </c>
      <c r="E134" s="313" t="s">
        <v>64</v>
      </c>
      <c r="F134" s="312" t="s">
        <v>101</v>
      </c>
      <c r="G134" s="368" t="e">
        <f>B120</f>
        <v>#DIV/0!</v>
      </c>
      <c r="I134" s="14"/>
      <c r="J134" s="14"/>
      <c r="K134" s="14"/>
      <c r="L134" s="14"/>
      <c r="M134" s="1"/>
      <c r="N134" s="1"/>
      <c r="O134" s="1"/>
      <c r="P134" s="1"/>
      <c r="Q134" s="1"/>
      <c r="R134" s="1"/>
      <c r="S134" s="1"/>
      <c r="T134" s="1"/>
    </row>
    <row r="135" spans="1:20" s="6" customFormat="1" ht="9.9499999999999993" customHeight="1" thickBot="1" x14ac:dyDescent="0.25">
      <c r="A135" s="1"/>
      <c r="D135" s="57"/>
      <c r="E135" s="58"/>
      <c r="M135" s="1"/>
      <c r="N135" s="1"/>
      <c r="O135" s="1"/>
      <c r="P135" s="1"/>
      <c r="Q135" s="1"/>
      <c r="R135" s="1"/>
      <c r="S135" s="1"/>
      <c r="T135" s="1"/>
    </row>
    <row r="136" spans="1:20" ht="35.1" customHeight="1" thickBot="1" x14ac:dyDescent="0.25">
      <c r="A136" s="815" t="s">
        <v>66</v>
      </c>
      <c r="B136" s="816"/>
      <c r="C136" s="816"/>
      <c r="D136" s="816"/>
      <c r="E136" s="816"/>
      <c r="F136" s="816"/>
      <c r="G136" s="816"/>
      <c r="H136" s="817"/>
      <c r="I136" s="817"/>
      <c r="J136" s="817"/>
      <c r="K136" s="817"/>
      <c r="L136" s="818"/>
    </row>
    <row r="137" spans="1:20" ht="35.1" customHeight="1" x14ac:dyDescent="0.2">
      <c r="B137" s="955" t="s">
        <v>61</v>
      </c>
      <c r="C137" s="956"/>
      <c r="D137" s="956"/>
      <c r="E137" s="314" t="s">
        <v>89</v>
      </c>
      <c r="F137" s="599" t="e">
        <f>B118</f>
        <v>#DIV/0!</v>
      </c>
      <c r="G137" s="363" t="s">
        <v>250</v>
      </c>
      <c r="H137" s="1"/>
      <c r="K137" s="1"/>
    </row>
    <row r="138" spans="1:20" ht="35.25" customHeight="1" thickBot="1" x14ac:dyDescent="0.25">
      <c r="B138" s="807" t="s">
        <v>61</v>
      </c>
      <c r="C138" s="808"/>
      <c r="D138" s="808"/>
      <c r="E138" s="367" t="s">
        <v>251</v>
      </c>
      <c r="F138" s="600" t="e">
        <f>F137/1000</f>
        <v>#DIV/0!</v>
      </c>
      <c r="G138" s="364" t="s">
        <v>65</v>
      </c>
      <c r="H138" s="1"/>
      <c r="K138" s="1"/>
    </row>
    <row r="139" spans="1:20" ht="9.9499999999999993" customHeight="1" thickBot="1" x14ac:dyDescent="0.25">
      <c r="K139" s="1"/>
    </row>
    <row r="140" spans="1:20" ht="35.1" customHeight="1" x14ac:dyDescent="0.2">
      <c r="B140" s="809" t="s">
        <v>62</v>
      </c>
      <c r="C140" s="810"/>
      <c r="D140" s="810"/>
      <c r="E140" s="572" t="s">
        <v>67</v>
      </c>
      <c r="F140" s="221" t="e">
        <f>D124*H120</f>
        <v>#N/A</v>
      </c>
      <c r="G140" s="315" t="s">
        <v>64</v>
      </c>
      <c r="H140" s="564" t="e">
        <f>D123*H120</f>
        <v>#N/A</v>
      </c>
      <c r="I140" s="361" t="s">
        <v>250</v>
      </c>
      <c r="J140" s="1"/>
      <c r="K140" s="1"/>
    </row>
    <row r="141" spans="1:20" ht="35.1" customHeight="1" thickBot="1" x14ac:dyDescent="0.25">
      <c r="B141" s="929" t="s">
        <v>62</v>
      </c>
      <c r="C141" s="930"/>
      <c r="D141" s="930"/>
      <c r="E141" s="366" t="s">
        <v>243</v>
      </c>
      <c r="F141" s="598" t="e">
        <f>F140/1000</f>
        <v>#N/A</v>
      </c>
      <c r="G141" s="316" t="s">
        <v>64</v>
      </c>
      <c r="H141" s="457" t="e">
        <f>H140/1000</f>
        <v>#N/A</v>
      </c>
      <c r="I141" s="362" t="s">
        <v>65</v>
      </c>
      <c r="J141" s="1"/>
      <c r="K141" s="1"/>
    </row>
    <row r="142" spans="1:20" ht="15" customHeight="1" x14ac:dyDescent="0.2">
      <c r="J142" s="1"/>
      <c r="K142" s="1"/>
    </row>
    <row r="143" spans="1:20" ht="15" customHeight="1" x14ac:dyDescent="0.2">
      <c r="F143" s="563"/>
      <c r="H143" s="57"/>
    </row>
    <row r="144" spans="1:20" ht="15" customHeight="1" x14ac:dyDescent="0.2"/>
    <row r="145" spans="1:16" ht="15" customHeight="1" thickBot="1" x14ac:dyDescent="0.25"/>
    <row r="146" spans="1:16" ht="61.5" customHeight="1" thickBot="1" x14ac:dyDescent="0.25">
      <c r="C146" s="966" t="s">
        <v>358</v>
      </c>
      <c r="D146" s="967"/>
      <c r="F146" s="966" t="s">
        <v>359</v>
      </c>
      <c r="G146" s="967"/>
    </row>
    <row r="147" spans="1:16" ht="38.25" customHeight="1" thickBot="1" x14ac:dyDescent="0.25">
      <c r="B147" s="1"/>
      <c r="C147" s="601" t="s">
        <v>347</v>
      </c>
      <c r="D147" s="602" t="s">
        <v>348</v>
      </c>
      <c r="F147" s="601" t="s">
        <v>349</v>
      </c>
      <c r="G147" s="602" t="s">
        <v>350</v>
      </c>
      <c r="H147" s="1"/>
      <c r="I147" s="1"/>
    </row>
    <row r="148" spans="1:16" ht="34.5" customHeight="1" x14ac:dyDescent="0.2">
      <c r="B148" s="1"/>
      <c r="C148" s="603"/>
      <c r="D148" s="604"/>
      <c r="E148" s="1"/>
      <c r="F148" s="605"/>
      <c r="G148" s="606" t="e">
        <f>F48</f>
        <v>#DIV/0!</v>
      </c>
      <c r="H148" s="1"/>
      <c r="I148" s="1"/>
    </row>
    <row r="149" spans="1:16" ht="35.1" customHeight="1" x14ac:dyDescent="0.2">
      <c r="B149" s="1"/>
      <c r="C149" s="607"/>
      <c r="D149" s="608"/>
      <c r="E149" s="1"/>
      <c r="F149" s="609"/>
      <c r="G149" s="610"/>
      <c r="H149" s="1"/>
      <c r="I149" s="1"/>
    </row>
    <row r="150" spans="1:16" ht="35.1" customHeight="1" x14ac:dyDescent="0.2">
      <c r="B150" s="1"/>
      <c r="C150" s="607"/>
      <c r="D150" s="608"/>
      <c r="E150" s="1"/>
      <c r="F150" s="609"/>
      <c r="G150" s="610"/>
      <c r="H150" s="1"/>
      <c r="I150" s="1"/>
    </row>
    <row r="151" spans="1:16" ht="35.1" customHeight="1" thickBot="1" x14ac:dyDescent="0.25">
      <c r="B151" s="1"/>
      <c r="C151" s="611"/>
      <c r="D151" s="612"/>
      <c r="E151" s="1"/>
      <c r="F151" s="613"/>
      <c r="G151" s="614"/>
      <c r="H151" s="1"/>
      <c r="I151" s="1"/>
    </row>
    <row r="152" spans="1:16" ht="35.1" customHeight="1" thickBot="1" x14ac:dyDescent="0.25">
      <c r="B152" s="1"/>
      <c r="C152" s="1"/>
      <c r="D152" s="1"/>
      <c r="E152" s="1"/>
      <c r="F152" s="1"/>
    </row>
    <row r="153" spans="1:16" ht="35.1" customHeight="1" thickBot="1" x14ac:dyDescent="0.25">
      <c r="A153" s="968" t="s">
        <v>351</v>
      </c>
      <c r="B153" s="969"/>
      <c r="C153" s="969"/>
      <c r="D153" s="969"/>
      <c r="E153" s="969"/>
      <c r="F153" s="969"/>
      <c r="G153" s="969"/>
      <c r="H153" s="969"/>
      <c r="I153" s="969"/>
      <c r="J153" s="969"/>
      <c r="K153" s="969"/>
      <c r="L153" s="969"/>
      <c r="M153" s="969"/>
      <c r="N153" s="969"/>
      <c r="O153" s="969"/>
      <c r="P153" s="970"/>
    </row>
  </sheetData>
  <sheetProtection algorithmName="SHA-512" hashValue="7DmR336VCGHTGANw+HDp75Eks8t0ZIR3M2A0e1EdmBFBtEp6YCKIoJxDYXu5n7iW/Q7187oQ9yMURGqDHhOX6Q==" saltValue="l4hjc132+wGJdC6oKw5VoQ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3">
    <mergeCell ref="C146:D146"/>
    <mergeCell ref="F146:G146"/>
    <mergeCell ref="A153:P153"/>
    <mergeCell ref="N88:P88"/>
    <mergeCell ref="H5:H6"/>
    <mergeCell ref="A1:B3"/>
    <mergeCell ref="B53:E53"/>
    <mergeCell ref="A67:L67"/>
    <mergeCell ref="B42:J42"/>
    <mergeCell ref="B12:C12"/>
    <mergeCell ref="G9:J9"/>
    <mergeCell ref="I10:J10"/>
    <mergeCell ref="G10:H10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G12:H12"/>
    <mergeCell ref="B141:D141"/>
    <mergeCell ref="B13:C13"/>
    <mergeCell ref="G13:H13"/>
    <mergeCell ref="B14:C14"/>
    <mergeCell ref="A89:C89"/>
    <mergeCell ref="A88:C88"/>
    <mergeCell ref="B96:E96"/>
    <mergeCell ref="D90:E90"/>
    <mergeCell ref="D88:E88"/>
    <mergeCell ref="D89:E89"/>
    <mergeCell ref="F83:J83"/>
    <mergeCell ref="C81:E81"/>
    <mergeCell ref="C82:E82"/>
    <mergeCell ref="A81:B81"/>
    <mergeCell ref="A90:C90"/>
    <mergeCell ref="A80:B80"/>
    <mergeCell ref="C79:E79"/>
    <mergeCell ref="A79:B79"/>
    <mergeCell ref="B137:D137"/>
    <mergeCell ref="I120:K120"/>
    <mergeCell ref="K62:L62"/>
    <mergeCell ref="B105:D105"/>
    <mergeCell ref="C98:E98"/>
    <mergeCell ref="G14:H14"/>
    <mergeCell ref="I108:K108"/>
    <mergeCell ref="G109:G110"/>
    <mergeCell ref="A108:G108"/>
    <mergeCell ref="F100:J100"/>
    <mergeCell ref="B106:D106"/>
    <mergeCell ref="I109:K116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K28:K29"/>
    <mergeCell ref="D20:F21"/>
    <mergeCell ref="D18:D19"/>
    <mergeCell ref="F18:F19"/>
    <mergeCell ref="D23:F23"/>
    <mergeCell ref="C24:D24"/>
    <mergeCell ref="B18:C20"/>
    <mergeCell ref="B33:G33"/>
    <mergeCell ref="F87:J87"/>
    <mergeCell ref="B52:L52"/>
    <mergeCell ref="F29:G29"/>
    <mergeCell ref="B61:I61"/>
    <mergeCell ref="K64:L64"/>
    <mergeCell ref="F78:J78"/>
    <mergeCell ref="F69:J69"/>
    <mergeCell ref="B64:C64"/>
    <mergeCell ref="B65:C65"/>
    <mergeCell ref="A73:E73"/>
    <mergeCell ref="A74:E74"/>
    <mergeCell ref="A76:B76"/>
    <mergeCell ref="A75:B75"/>
    <mergeCell ref="C75:E75"/>
    <mergeCell ref="B29:C29"/>
    <mergeCell ref="B31:I31"/>
    <mergeCell ref="B21:C23"/>
    <mergeCell ref="C1:P3"/>
    <mergeCell ref="B138:D138"/>
    <mergeCell ref="B140:D140"/>
    <mergeCell ref="E124:F124"/>
    <mergeCell ref="E123:F123"/>
    <mergeCell ref="A136:L136"/>
    <mergeCell ref="A122:L122"/>
    <mergeCell ref="G53:L53"/>
    <mergeCell ref="F86:J86"/>
    <mergeCell ref="B72:D72"/>
    <mergeCell ref="F103:H103"/>
    <mergeCell ref="F97:J97"/>
    <mergeCell ref="F92:J92"/>
    <mergeCell ref="A93:C93"/>
    <mergeCell ref="A94:C94"/>
    <mergeCell ref="A95:C95"/>
    <mergeCell ref="D93:E93"/>
    <mergeCell ref="D94:E94"/>
    <mergeCell ref="D95:E95"/>
    <mergeCell ref="C80:E80"/>
    <mergeCell ref="C77:E77"/>
    <mergeCell ref="C76:E76"/>
    <mergeCell ref="F72:J72"/>
  </mergeCells>
  <conditionalFormatting sqref="I120">
    <cfRule type="cellIs" dxfId="0" priority="1" operator="greaterThan">
      <formula>$I$119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6" orientation="portrait" r:id="rId3"/>
  <headerFooter>
    <oddFooter>&amp;RRT03-F34 Vr.8 (2020-01-21)
Página &amp;P de 3</oddFooter>
  </headerFooter>
  <rowBreaks count="2" manualBreakCount="2">
    <brk id="50" max="16383" man="1"/>
    <brk id="98" max="15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&gt; '!$C$27:$C$88</xm:f>
          </x14:formula1>
          <xm:sqref>E24 K21:K24</xm:sqref>
        </x14:dataValidation>
        <x14:dataValidation type="list" allowBlank="1" showInputMessage="1" showErrorMessage="1">
          <x14:formula1>
            <xm:f>'DATOS &gt; '!$C$7:$C$9</xm:f>
          </x14:formula1>
          <xm:sqref>H5:H6</xm:sqref>
        </x14:dataValidation>
        <x14:dataValidation type="list" allowBlank="1" showInputMessage="1" showErrorMessage="1">
          <x14:formula1>
            <xm:f>'DATOS &gt; '!$C$16:$C$22</xm:f>
          </x14:formula1>
          <xm:sqref>F8</xm:sqref>
        </x14:dataValidation>
        <x14:dataValidation type="list" allowBlank="1" showInputMessage="1" showErrorMessage="1">
          <x14:formula1>
            <xm:f>'DATOS &gt; '!$B$27:$B$88</xm:f>
          </x14:formula1>
          <xm:sqref>K10</xm:sqref>
        </x14:dataValidation>
        <x14:dataValidation type="list" allowBlank="1" showInputMessage="1" showErrorMessage="1">
          <x14:formula1>
            <xm:f>'DATOS &gt; '!$K$27:$K$45</xm:f>
          </x14:formula1>
          <xm:sqref>E19</xm:sqref>
        </x14:dataValidation>
        <x14:dataValidation type="list" allowBlank="1" showInputMessage="1" showErrorMessage="1">
          <x14:formula1>
            <xm:f>'DATOS &gt; '!$L$27:$L$52</xm:f>
          </x14:formula1>
          <xm:sqref>D22:F22</xm:sqref>
        </x14:dataValidation>
        <x14:dataValidation type="list" allowBlank="1" showInputMessage="1" showErrorMessage="1">
          <x14:formula1>
            <xm:f>'DATOS &gt; '!$G$160:$G$165</xm:f>
          </x14:formula1>
          <xm:sqref>K28:K29</xm:sqref>
        </x14:dataValidation>
        <x14:dataValidation type="list" allowBlank="1" showInputMessage="1" showErrorMessage="1">
          <x14:formula1>
            <xm:f>'DATOS &gt; '!$A$156:$A$159</xm:f>
          </x14:formula1>
          <xm:sqref>K62:L62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DATOS &gt; </vt:lpstr>
      <vt:lpstr>RT03-F34 &gt;</vt:lpstr>
      <vt:lpstr>'RT03-F34 &gt;'!Área_de_impresión</vt:lpstr>
      <vt:lpstr>'DATOS &gt; '!Print_Area</vt:lpstr>
      <vt:lpstr>'RT03-F34 &gt;'!Print_Area</vt:lpstr>
      <vt:lpstr>'RT03-F34 &gt;'!Print_Titles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yenni hernandez gomez</cp:lastModifiedBy>
  <cp:lastPrinted>2020-01-22T15:48:42Z</cp:lastPrinted>
  <dcterms:created xsi:type="dcterms:W3CDTF">2016-06-28T20:23:39Z</dcterms:created>
  <dcterms:modified xsi:type="dcterms:W3CDTF">2020-01-22T15:50:02Z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525624</vt:i4>
  </property>
</Properties>
</file>